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5360" windowHeight="8565" activeTab="0"/>
  </bookViews>
  <sheets>
    <sheet name="training schedule" sheetId="1" r:id="rId1"/>
    <sheet name="analysis" sheetId="2" r:id="rId2"/>
    <sheet name="race pace 1" sheetId="3" r:id="rId3"/>
    <sheet name="race pace 2" sheetId="4" r:id="rId4"/>
  </sheets>
  <definedNames>
    <definedName name="_Fill" hidden="1">'training schedule'!#REF!</definedName>
    <definedName name="dbdi">'training schedule'!$AG$11:$AG$24</definedName>
    <definedName name="dbdiist">'training schedule'!$AG$28:$AG$40</definedName>
    <definedName name="dbdo">'training schedule'!$AI$11:$AI$24</definedName>
    <definedName name="dbdoist">'training schedule'!$AI$28:$AI$40</definedName>
    <definedName name="dbfr">'training schedule'!$AJ$11:$AJ$24</definedName>
    <definedName name="dbfrist">'training schedule'!$AJ$28:$AJ$40</definedName>
    <definedName name="dbmi">'training schedule'!$AH$11:$AH$24</definedName>
    <definedName name="dbmiist">'training schedule'!$AH$28:$AH$40</definedName>
    <definedName name="dbmo">'training schedule'!$AF$11:$AF$24</definedName>
    <definedName name="dbmoist">'training schedule'!$AF$28:$AF$40</definedName>
    <definedName name="dbsa">'training schedule'!$AK$11:$AK$24</definedName>
    <definedName name="dbsaist">'training schedule'!$AK$28:$AK$40</definedName>
    <definedName name="dbso">'training schedule'!$AL$11:$AL$24</definedName>
    <definedName name="dbsoist">'training schedule'!$AL$28:$AL$41</definedName>
    <definedName name="_xlnm.Print_Area" localSheetId="0">'training schedule'!$A$1:$U$51</definedName>
  </definedNames>
  <calcPr fullCalcOnLoad="1"/>
</workbook>
</file>

<file path=xl/comments2.xml><?xml version="1.0" encoding="utf-8"?>
<comments xmlns="http://schemas.openxmlformats.org/spreadsheetml/2006/main">
  <authors>
    <author>Ulrich Sauer</author>
  </authors>
  <commentList>
    <comment ref="D27" authorId="0">
      <text>
        <r>
          <rPr>
            <sz val="8"/>
            <rFont val="Tahoma"/>
            <family val="0"/>
          </rPr>
          <t xml:space="preserve">actual speed in min/mile
</t>
        </r>
      </text>
    </comment>
    <comment ref="C27" authorId="0">
      <text>
        <r>
          <rPr>
            <sz val="8"/>
            <rFont val="Tahoma"/>
            <family val="0"/>
          </rPr>
          <t xml:space="preserve">planned speed in min/mile
</t>
        </r>
      </text>
    </comment>
    <comment ref="B27" authorId="0">
      <text>
        <r>
          <rPr>
            <sz val="8"/>
            <rFont val="Tahoma"/>
            <family val="0"/>
          </rPr>
          <t xml:space="preserve">average planned speed in min/mile
</t>
        </r>
      </text>
    </comment>
    <comment ref="E27" authorId="0">
      <text>
        <r>
          <rPr>
            <sz val="8"/>
            <rFont val="Tahoma"/>
            <family val="0"/>
          </rPr>
          <t xml:space="preserve">actual speed accumulated 
in min/mile
</t>
        </r>
      </text>
    </comment>
    <comment ref="F27" authorId="0">
      <text>
        <r>
          <rPr>
            <sz val="8"/>
            <rFont val="Tahoma"/>
            <family val="0"/>
          </rPr>
          <t xml:space="preserve">actual average speed
accumulated
in min/mile
</t>
        </r>
      </text>
    </comment>
    <comment ref="G27" authorId="0">
      <text>
        <r>
          <rPr>
            <sz val="8"/>
            <rFont val="Tahoma"/>
            <family val="0"/>
          </rPr>
          <t xml:space="preserve">Heartrate
in beats/min
</t>
        </r>
      </text>
    </comment>
    <comment ref="H27" authorId="0">
      <text>
        <r>
          <rPr>
            <sz val="8"/>
            <rFont val="Tahoma"/>
            <family val="0"/>
          </rPr>
          <t xml:space="preserve">actual speed in min/K
</t>
        </r>
      </text>
    </comment>
  </commentList>
</comments>
</file>

<file path=xl/sharedStrings.xml><?xml version="1.0" encoding="utf-8"?>
<sst xmlns="http://schemas.openxmlformats.org/spreadsheetml/2006/main" count="298" uniqueCount="115">
  <si>
    <t>W</t>
  </si>
  <si>
    <t>week</t>
  </si>
  <si>
    <t>mo</t>
  </si>
  <si>
    <t>tu</t>
  </si>
  <si>
    <t>we</t>
  </si>
  <si>
    <t>th</t>
  </si>
  <si>
    <t>fr</t>
  </si>
  <si>
    <t>sa</t>
  </si>
  <si>
    <t>su</t>
  </si>
  <si>
    <t>from</t>
  </si>
  <si>
    <t>to</t>
  </si>
  <si>
    <t>schedule</t>
  </si>
  <si>
    <t>recovery</t>
  </si>
  <si>
    <t>MaxHR</t>
  </si>
  <si>
    <t>Slow</t>
  </si>
  <si>
    <t>Intervals I</t>
  </si>
  <si>
    <t>Intervals II</t>
  </si>
  <si>
    <t>5K speed</t>
  </si>
  <si>
    <t>updated:</t>
  </si>
  <si>
    <t>to go</t>
  </si>
  <si>
    <t>days</t>
  </si>
  <si>
    <t>done</t>
  </si>
  <si>
    <t>max done</t>
  </si>
  <si>
    <t>max sched</t>
  </si>
  <si>
    <t>diff</t>
  </si>
  <si>
    <t xml:space="preserve"> </t>
  </si>
  <si>
    <t>miles</t>
  </si>
  <si>
    <t>diff. to schedule so far</t>
  </si>
  <si>
    <t>= min/km</t>
  </si>
  <si>
    <t>min/km</t>
  </si>
  <si>
    <t>= min/mile</t>
  </si>
  <si>
    <t>total</t>
  </si>
  <si>
    <t>Med I</t>
  </si>
  <si>
    <t>Med II</t>
  </si>
  <si>
    <t>Mar.spd.</t>
  </si>
  <si>
    <t>= 400m</t>
  </si>
  <si>
    <t>= 800m</t>
  </si>
  <si>
    <t>= 600m</t>
  </si>
  <si>
    <t>km/h</t>
  </si>
  <si>
    <t>= km/h</t>
  </si>
  <si>
    <t>avrg forecast based on diff.</t>
  </si>
  <si>
    <t>time</t>
  </si>
  <si>
    <t>hours</t>
  </si>
  <si>
    <t>minutes</t>
  </si>
  <si>
    <t>race pacing</t>
  </si>
  <si>
    <t>spectators</t>
  </si>
  <si>
    <t>Ø min/mile</t>
  </si>
  <si>
    <t>Ø min/K</t>
  </si>
  <si>
    <t>k</t>
  </si>
  <si>
    <t>km</t>
  </si>
  <si>
    <t>Ist kum</t>
  </si>
  <si>
    <t>Puls</t>
  </si>
  <si>
    <t>Tp Soll</t>
  </si>
  <si>
    <t>Tp Ist</t>
  </si>
  <si>
    <t>Tp Ist kum</t>
  </si>
  <si>
    <t>Armband-Aufkleber</t>
  </si>
  <si>
    <t>The Big Day</t>
  </si>
  <si>
    <t>kilos</t>
  </si>
  <si>
    <t>pace calculator</t>
  </si>
  <si>
    <t>race date</t>
  </si>
  <si>
    <t>kum</t>
  </si>
  <si>
    <t>&gt;=20</t>
  </si>
  <si>
    <t>&gt;=30</t>
  </si>
  <si>
    <t>di</t>
  </si>
  <si>
    <t>mi</t>
  </si>
  <si>
    <t>do</t>
  </si>
  <si>
    <t>so</t>
  </si>
  <si>
    <t>&gt;=25</t>
  </si>
  <si>
    <t>&gt;=20K</t>
  </si>
  <si>
    <t>&gt;=25K</t>
  </si>
  <si>
    <t>&gt;=30K</t>
  </si>
  <si>
    <t>whole schedule</t>
  </si>
  <si>
    <t>done until today</t>
  </si>
  <si>
    <t>number of long runs</t>
  </si>
  <si>
    <t>m</t>
  </si>
  <si>
    <t>min/Meile</t>
  </si>
  <si>
    <t>HM</t>
  </si>
  <si>
    <t>Tp Ist /km</t>
  </si>
  <si>
    <r>
      <t xml:space="preserve">distances in K  /  R = recovery / L = slow / M = medium / S = speed / </t>
    </r>
    <r>
      <rPr>
        <sz val="10"/>
        <color indexed="10"/>
        <rFont val="Verdana"/>
        <family val="2"/>
      </rPr>
      <t>W = Race</t>
    </r>
  </si>
  <si>
    <t>mile</t>
  </si>
  <si>
    <t>(decimals for scaling)</t>
  </si>
  <si>
    <t>sample numbers of my London Marathon 2004</t>
  </si>
  <si>
    <t>12 week schedule</t>
  </si>
  <si>
    <t>gym</t>
  </si>
  <si>
    <t>total week 12 to 1</t>
  </si>
  <si>
    <t>average week 12 to 1</t>
  </si>
  <si>
    <t>travel</t>
  </si>
  <si>
    <t>gym +</t>
  </si>
  <si>
    <t>45m bike</t>
  </si>
  <si>
    <t xml:space="preserve">69K bike </t>
  </si>
  <si>
    <t>injection 1</t>
  </si>
  <si>
    <t>injection 2 + dona</t>
  </si>
  <si>
    <t>injection 3</t>
  </si>
  <si>
    <t>Inj 1</t>
  </si>
  <si>
    <t>Inj 2</t>
  </si>
  <si>
    <t>R</t>
  </si>
  <si>
    <t>M</t>
  </si>
  <si>
    <t>L</t>
  </si>
  <si>
    <t>target: 3:50</t>
  </si>
  <si>
    <t>walking holiday</t>
  </si>
  <si>
    <t>Gran Canaria</t>
  </si>
  <si>
    <t>bike</t>
  </si>
  <si>
    <t>ind.bike</t>
  </si>
  <si>
    <t>training for London 2008</t>
  </si>
  <si>
    <t>CityPierCity HM</t>
  </si>
  <si>
    <t>bike 43K</t>
  </si>
  <si>
    <t>bike 59K</t>
  </si>
  <si>
    <t>bike 69K</t>
  </si>
  <si>
    <t>cycling hol Mallorca</t>
  </si>
  <si>
    <t>+ 289K bike</t>
  </si>
  <si>
    <t>S</t>
  </si>
  <si>
    <t>+ 350K bike</t>
  </si>
  <si>
    <t>+ 50K bike</t>
  </si>
  <si>
    <t>too cold for long run</t>
  </si>
  <si>
    <t>1:38:05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</si>
</sst>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)"/>
    <numFmt numFmtId="173" formatCode="dd/mm/yy_)"/>
    <numFmt numFmtId="174" formatCode="#,##0.0_);\(#,##0.0\)"/>
    <numFmt numFmtId="175" formatCode="#,##0.000_);\(#,##0.000\)"/>
    <numFmt numFmtId="176" formatCode="#,##0.00_);\(#,##0.00\)"/>
    <numFmt numFmtId="177" formatCode="#,##0_);\(#,##0\)"/>
    <numFmt numFmtId="178" formatCode="0.000"/>
    <numFmt numFmtId="179" formatCode="0.0"/>
    <numFmt numFmtId="180" formatCode="0.00000"/>
    <numFmt numFmtId="181" formatCode="0.0000"/>
    <numFmt numFmtId="182" formatCode="0.0_ ;\-0.0\ "/>
    <numFmt numFmtId="183" formatCode="0.0%"/>
    <numFmt numFmtId="184" formatCode="00"/>
    <numFmt numFmtId="185" formatCode="d/m/yy\ h:mm"/>
    <numFmt numFmtId="186" formatCode="h:mm"/>
    <numFmt numFmtId="187" formatCode="0.0000000"/>
    <numFmt numFmtId="188" formatCode="0.000000"/>
    <numFmt numFmtId="189" formatCode="0.00000000"/>
    <numFmt numFmtId="190" formatCode="0.000000000"/>
    <numFmt numFmtId="191" formatCode=";;;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0.0\ \ "/>
    <numFmt numFmtId="196" formatCode="0.0\ "/>
    <numFmt numFmtId="197" formatCode="dd/mm/"/>
    <numFmt numFmtId="198" formatCode="\+0.0;\-0.0"/>
    <numFmt numFmtId="199" formatCode="\+\ 0.0;\-\ 0.0;0.0;"/>
    <numFmt numFmtId="200" formatCode="h:mm:ss"/>
    <numFmt numFmtId="201" formatCode="[$€-2]\ #,##0.00_);[Red]\([$€-2]\ #,##0.00\)"/>
    <numFmt numFmtId="202" formatCode="0\ "/>
  </numFmts>
  <fonts count="43">
    <font>
      <sz val="12"/>
      <name val="Arial MT"/>
      <family val="0"/>
    </font>
    <font>
      <sz val="10"/>
      <name val="Arial"/>
      <family val="0"/>
    </font>
    <font>
      <sz val="10"/>
      <name val="Courier"/>
      <family val="0"/>
    </font>
    <font>
      <sz val="10"/>
      <name val="Arial MT"/>
      <family val="0"/>
    </font>
    <font>
      <sz val="8"/>
      <name val="Arial"/>
      <family val="2"/>
    </font>
    <font>
      <sz val="9.5"/>
      <name val="Arial"/>
      <family val="2"/>
    </font>
    <font>
      <sz val="11"/>
      <name val="Arial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0"/>
      <name val="Arial MT"/>
      <family val="0"/>
    </font>
    <font>
      <b/>
      <sz val="12"/>
      <name val="Arial MT"/>
      <family val="2"/>
    </font>
    <font>
      <b/>
      <sz val="12"/>
      <color indexed="18"/>
      <name val="Arial MT"/>
      <family val="0"/>
    </font>
    <font>
      <b/>
      <sz val="12"/>
      <color indexed="53"/>
      <name val="Arial MT"/>
      <family val="0"/>
    </font>
    <font>
      <sz val="12"/>
      <name val="Arial"/>
      <family val="2"/>
    </font>
    <font>
      <sz val="19.25"/>
      <name val="Arial"/>
      <family val="0"/>
    </font>
    <font>
      <b/>
      <sz val="8"/>
      <color indexed="3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b/>
      <sz val="10"/>
      <color indexed="10"/>
      <name val="Arial MT"/>
      <family val="0"/>
    </font>
    <font>
      <b/>
      <sz val="8"/>
      <color indexed="18"/>
      <name val="Arial"/>
      <family val="2"/>
    </font>
    <font>
      <b/>
      <sz val="8"/>
      <color indexed="62"/>
      <name val="Arial"/>
      <family val="2"/>
    </font>
    <font>
      <b/>
      <sz val="8"/>
      <color indexed="60"/>
      <name val="Arial"/>
      <family val="2"/>
    </font>
    <font>
      <sz val="12"/>
      <color indexed="10"/>
      <name val="Arial MT"/>
      <family val="0"/>
    </font>
    <font>
      <sz val="12"/>
      <color indexed="12"/>
      <name val="Arial MT"/>
      <family val="0"/>
    </font>
    <font>
      <b/>
      <sz val="12"/>
      <color indexed="61"/>
      <name val="Arial MT"/>
      <family val="0"/>
    </font>
    <font>
      <b/>
      <sz val="9.5"/>
      <name val="Arial"/>
      <family val="2"/>
    </font>
    <font>
      <b/>
      <sz val="9.5"/>
      <color indexed="39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8"/>
      <name val="Verdana"/>
      <family val="2"/>
    </font>
    <font>
      <u val="single"/>
      <sz val="10"/>
      <color indexed="10"/>
      <name val="Verdana"/>
      <family val="2"/>
    </font>
    <font>
      <sz val="10"/>
      <color indexed="17"/>
      <name val="Verdana"/>
      <family val="2"/>
    </font>
    <font>
      <u val="single"/>
      <sz val="8"/>
      <color indexed="10"/>
      <name val="Verdana"/>
      <family val="2"/>
    </font>
    <font>
      <sz val="10"/>
      <color indexed="12"/>
      <name val="Verdana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sz val="8"/>
      <color indexed="8"/>
      <name val="Verdana"/>
      <family val="2"/>
    </font>
    <font>
      <u val="single"/>
      <sz val="8"/>
      <name val="Verdana"/>
      <family val="2"/>
    </font>
    <font>
      <sz val="8"/>
      <name val="Tahoma"/>
      <family val="0"/>
    </font>
    <font>
      <sz val="8"/>
      <color indexed="17"/>
      <name val="Verdana"/>
      <family val="2"/>
    </font>
    <font>
      <b/>
      <sz val="8"/>
      <name val="Arial MT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DashDotDot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37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1" fillId="0" borderId="0" xfId="0" applyFont="1" applyAlignment="1">
      <alignment/>
    </xf>
    <xf numFmtId="0" fontId="0" fillId="0" borderId="3" xfId="0" applyBorder="1" applyAlignment="1">
      <alignment/>
    </xf>
    <xf numFmtId="176" fontId="0" fillId="0" borderId="4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176" fontId="0" fillId="0" borderId="6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175" fontId="0" fillId="0" borderId="8" xfId="0" applyNumberFormat="1" applyBorder="1" applyAlignment="1" applyProtection="1">
      <alignment/>
      <protection/>
    </xf>
    <xf numFmtId="0" fontId="0" fillId="0" borderId="8" xfId="0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5" fontId="0" fillId="0" borderId="11" xfId="0" applyNumberForma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0" fillId="0" borderId="11" xfId="0" applyNumberFormat="1" applyBorder="1" applyAlignment="1" applyProtection="1">
      <alignment/>
      <protection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5" xfId="0" applyBorder="1" applyAlignment="1">
      <alignment/>
    </xf>
    <xf numFmtId="46" fontId="0" fillId="0" borderId="14" xfId="0" applyNumberFormat="1" applyBorder="1" applyAlignment="1" applyProtection="1">
      <alignment/>
      <protection/>
    </xf>
    <xf numFmtId="176" fontId="0" fillId="0" borderId="16" xfId="0" applyNumberForma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6" fontId="3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46" fontId="3" fillId="0" borderId="11" xfId="0" applyNumberFormat="1" applyFont="1" applyBorder="1" applyAlignment="1" applyProtection="1">
      <alignment/>
      <protection/>
    </xf>
    <xf numFmtId="46" fontId="3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186" fontId="12" fillId="0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186" fontId="0" fillId="0" borderId="19" xfId="0" applyNumberFormat="1" applyFill="1" applyBorder="1" applyAlignment="1" applyProtection="1">
      <alignment/>
      <protection/>
    </xf>
    <xf numFmtId="186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>
      <alignment/>
    </xf>
    <xf numFmtId="46" fontId="0" fillId="0" borderId="0" xfId="0" applyNumberFormat="1" applyBorder="1" applyAlignment="1" applyProtection="1">
      <alignment/>
      <protection/>
    </xf>
    <xf numFmtId="46" fontId="0" fillId="0" borderId="5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/>
      <protection/>
    </xf>
    <xf numFmtId="46" fontId="0" fillId="0" borderId="20" xfId="0" applyNumberFormat="1" applyBorder="1" applyAlignment="1" applyProtection="1">
      <alignment/>
      <protection/>
    </xf>
    <xf numFmtId="46" fontId="0" fillId="0" borderId="21" xfId="0" applyNumberFormat="1" applyBorder="1" applyAlignment="1" applyProtection="1">
      <alignment/>
      <protection/>
    </xf>
    <xf numFmtId="176" fontId="0" fillId="0" borderId="22" xfId="0" applyNumberFormat="1" applyBorder="1" applyAlignment="1" applyProtection="1">
      <alignment/>
      <protection/>
    </xf>
    <xf numFmtId="0" fontId="0" fillId="0" borderId="23" xfId="0" applyBorder="1" applyAlignment="1">
      <alignment/>
    </xf>
    <xf numFmtId="17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176" fontId="0" fillId="0" borderId="23" xfId="0" applyNumberFormat="1" applyBorder="1" applyAlignment="1" applyProtection="1">
      <alignment/>
      <protection/>
    </xf>
    <xf numFmtId="46" fontId="0" fillId="0" borderId="19" xfId="0" applyNumberFormat="1" applyBorder="1" applyAlignment="1" applyProtection="1">
      <alignment/>
      <protection/>
    </xf>
    <xf numFmtId="46" fontId="0" fillId="0" borderId="26" xfId="0" applyNumberFormat="1" applyBorder="1" applyAlignment="1" applyProtection="1">
      <alignment/>
      <protection/>
    </xf>
    <xf numFmtId="176" fontId="0" fillId="0" borderId="27" xfId="0" applyNumberFormat="1" applyBorder="1" applyAlignment="1" applyProtection="1">
      <alignment/>
      <protection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176" fontId="0" fillId="0" borderId="21" xfId="0" applyNumberFormat="1" applyBorder="1" applyAlignment="1" applyProtection="1">
      <alignment/>
      <protection/>
    </xf>
    <xf numFmtId="0" fontId="0" fillId="0" borderId="24" xfId="0" applyBorder="1" applyAlignment="1">
      <alignment/>
    </xf>
    <xf numFmtId="176" fontId="0" fillId="0" borderId="26" xfId="0" applyNumberFormat="1" applyBorder="1" applyAlignment="1" applyProtection="1">
      <alignment/>
      <protection/>
    </xf>
    <xf numFmtId="46" fontId="0" fillId="0" borderId="16" xfId="0" applyNumberFormat="1" applyBorder="1" applyAlignment="1" applyProtection="1">
      <alignment/>
      <protection/>
    </xf>
    <xf numFmtId="176" fontId="0" fillId="0" borderId="13" xfId="0" applyNumberFormat="1" applyBorder="1" applyAlignment="1" applyProtection="1">
      <alignment/>
      <protection/>
    </xf>
    <xf numFmtId="2" fontId="0" fillId="0" borderId="23" xfId="0" applyNumberFormat="1" applyBorder="1" applyAlignment="1">
      <alignment/>
    </xf>
    <xf numFmtId="46" fontId="0" fillId="0" borderId="17" xfId="0" applyNumberFormat="1" applyBorder="1" applyAlignment="1" applyProtection="1">
      <alignment/>
      <protection/>
    </xf>
    <xf numFmtId="46" fontId="0" fillId="0" borderId="12" xfId="0" applyNumberFormat="1" applyBorder="1" applyAlignment="1" applyProtection="1">
      <alignment/>
      <protection/>
    </xf>
    <xf numFmtId="46" fontId="0" fillId="0" borderId="11" xfId="0" applyNumberFormat="1" applyBorder="1" applyAlignment="1" applyProtection="1">
      <alignment/>
      <protection/>
    </xf>
    <xf numFmtId="46" fontId="0" fillId="0" borderId="29" xfId="0" applyNumberFormat="1" applyBorder="1" applyAlignment="1" applyProtection="1">
      <alignment/>
      <protection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0" fontId="13" fillId="0" borderId="0" xfId="0" applyFon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45" fontId="0" fillId="0" borderId="11" xfId="0" applyNumberFormat="1" applyBorder="1" applyAlignment="1">
      <alignment horizontal="center"/>
    </xf>
    <xf numFmtId="21" fontId="0" fillId="0" borderId="0" xfId="0" applyNumberFormat="1" applyAlignment="1">
      <alignment horizontal="center"/>
    </xf>
    <xf numFmtId="21" fontId="0" fillId="0" borderId="11" xfId="0" applyNumberFormat="1" applyBorder="1" applyAlignment="1">
      <alignment horizontal="center"/>
    </xf>
    <xf numFmtId="45" fontId="3" fillId="0" borderId="0" xfId="0" applyNumberFormat="1" applyFont="1" applyAlignment="1">
      <alignment/>
    </xf>
    <xf numFmtId="200" fontId="3" fillId="0" borderId="0" xfId="0" applyNumberFormat="1" applyFont="1" applyAlignment="1">
      <alignment/>
    </xf>
    <xf numFmtId="200" fontId="3" fillId="0" borderId="11" xfId="0" applyNumberFormat="1" applyFont="1" applyBorder="1" applyAlignment="1">
      <alignment/>
    </xf>
    <xf numFmtId="200" fontId="3" fillId="0" borderId="0" xfId="0" applyNumberFormat="1" applyFont="1" applyBorder="1" applyAlignment="1">
      <alignment/>
    </xf>
    <xf numFmtId="179" fontId="3" fillId="2" borderId="0" xfId="0" applyNumberFormat="1" applyFont="1" applyFill="1" applyAlignment="1">
      <alignment/>
    </xf>
    <xf numFmtId="46" fontId="3" fillId="2" borderId="0" xfId="0" applyNumberFormat="1" applyFont="1" applyFill="1" applyBorder="1" applyAlignment="1" applyProtection="1">
      <alignment/>
      <protection/>
    </xf>
    <xf numFmtId="200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200" fontId="3" fillId="2" borderId="0" xfId="0" applyNumberFormat="1" applyFont="1" applyFill="1" applyBorder="1" applyAlignment="1">
      <alignment/>
    </xf>
    <xf numFmtId="187" fontId="0" fillId="0" borderId="0" xfId="0" applyNumberFormat="1" applyAlignment="1">
      <alignment/>
    </xf>
    <xf numFmtId="45" fontId="22" fillId="0" borderId="0" xfId="0" applyNumberFormat="1" applyFont="1" applyAlignment="1">
      <alignment horizontal="center"/>
    </xf>
    <xf numFmtId="45" fontId="22" fillId="0" borderId="11" xfId="0" applyNumberFormat="1" applyFont="1" applyBorder="1" applyAlignment="1">
      <alignment horizontal="center"/>
    </xf>
    <xf numFmtId="45" fontId="23" fillId="0" borderId="0" xfId="0" applyNumberFormat="1" applyFont="1" applyAlignment="1">
      <alignment horizontal="center"/>
    </xf>
    <xf numFmtId="45" fontId="23" fillId="0" borderId="11" xfId="0" applyNumberFormat="1" applyFont="1" applyBorder="1" applyAlignment="1">
      <alignment horizontal="center"/>
    </xf>
    <xf numFmtId="45" fontId="23" fillId="0" borderId="0" xfId="0" applyNumberFormat="1" applyFont="1" applyBorder="1" applyAlignment="1">
      <alignment horizontal="center"/>
    </xf>
    <xf numFmtId="0" fontId="22" fillId="0" borderId="31" xfId="0" applyFont="1" applyBorder="1" applyAlignment="1">
      <alignment/>
    </xf>
    <xf numFmtId="45" fontId="23" fillId="0" borderId="32" xfId="0" applyNumberFormat="1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4" fillId="0" borderId="34" xfId="0" applyFont="1" applyBorder="1" applyAlignment="1">
      <alignment horizontal="right"/>
    </xf>
    <xf numFmtId="1" fontId="24" fillId="0" borderId="0" xfId="0" applyNumberFormat="1" applyFont="1" applyAlignment="1">
      <alignment/>
    </xf>
    <xf numFmtId="1" fontId="24" fillId="0" borderId="11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9" fillId="3" borderId="35" xfId="0" applyFont="1" applyFill="1" applyBorder="1" applyAlignment="1">
      <alignment/>
    </xf>
    <xf numFmtId="0" fontId="3" fillId="0" borderId="35" xfId="0" applyNumberFormat="1" applyFont="1" applyBorder="1" applyAlignment="1" applyProtection="1">
      <alignment/>
      <protection/>
    </xf>
    <xf numFmtId="0" fontId="18" fillId="0" borderId="35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10" xfId="0" applyFont="1" applyBorder="1" applyAlignment="1">
      <alignment/>
    </xf>
    <xf numFmtId="179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200" fontId="9" fillId="0" borderId="0" xfId="0" applyNumberFormat="1" applyFont="1" applyFill="1" applyBorder="1" applyAlignment="1">
      <alignment/>
    </xf>
    <xf numFmtId="0" fontId="9" fillId="3" borderId="10" xfId="0" applyFont="1" applyFill="1" applyBorder="1" applyAlignment="1">
      <alignment/>
    </xf>
    <xf numFmtId="179" fontId="18" fillId="0" borderId="35" xfId="0" applyNumberFormat="1" applyFont="1" applyBorder="1" applyAlignment="1">
      <alignment/>
    </xf>
    <xf numFmtId="0" fontId="3" fillId="3" borderId="35" xfId="0" applyNumberFormat="1" applyFont="1" applyFill="1" applyBorder="1" applyAlignment="1" applyProtection="1">
      <alignment/>
      <protection/>
    </xf>
    <xf numFmtId="0" fontId="9" fillId="0" borderId="35" xfId="0" applyFont="1" applyFill="1" applyBorder="1" applyAlignment="1">
      <alignment/>
    </xf>
    <xf numFmtId="186" fontId="3" fillId="0" borderId="9" xfId="0" applyNumberFormat="1" applyFont="1" applyBorder="1" applyAlignment="1">
      <alignment/>
    </xf>
    <xf numFmtId="186" fontId="9" fillId="3" borderId="20" xfId="0" applyNumberFormat="1" applyFont="1" applyFill="1" applyBorder="1" applyAlignment="1">
      <alignment/>
    </xf>
    <xf numFmtId="186" fontId="18" fillId="0" borderId="20" xfId="0" applyNumberFormat="1" applyFont="1" applyBorder="1" applyAlignment="1">
      <alignment/>
    </xf>
    <xf numFmtId="186" fontId="3" fillId="3" borderId="20" xfId="0" applyNumberFormat="1" applyFont="1" applyFill="1" applyBorder="1" applyAlignment="1">
      <alignment/>
    </xf>
    <xf numFmtId="186" fontId="9" fillId="0" borderId="20" xfId="0" applyNumberFormat="1" applyFont="1" applyFill="1" applyBorder="1" applyAlignment="1">
      <alignment/>
    </xf>
    <xf numFmtId="186" fontId="9" fillId="3" borderId="12" xfId="0" applyNumberFormat="1" applyFont="1" applyFill="1" applyBorder="1" applyAlignment="1">
      <alignment/>
    </xf>
    <xf numFmtId="186" fontId="3" fillId="0" borderId="20" xfId="0" applyNumberFormat="1" applyFont="1" applyBorder="1" applyAlignment="1">
      <alignment/>
    </xf>
    <xf numFmtId="186" fontId="3" fillId="0" borderId="12" xfId="0" applyNumberFormat="1" applyFont="1" applyBorder="1" applyAlignment="1">
      <alignment/>
    </xf>
    <xf numFmtId="46" fontId="9" fillId="0" borderId="0" xfId="0" applyNumberFormat="1" applyFont="1" applyBorder="1" applyAlignment="1">
      <alignment/>
    </xf>
    <xf numFmtId="45" fontId="9" fillId="0" borderId="0" xfId="0" applyNumberFormat="1" applyFont="1" applyFill="1" applyBorder="1" applyAlignment="1">
      <alignment/>
    </xf>
    <xf numFmtId="0" fontId="27" fillId="4" borderId="0" xfId="0" applyFont="1" applyFill="1" applyAlignment="1">
      <alignment/>
    </xf>
    <xf numFmtId="0" fontId="27" fillId="4" borderId="0" xfId="0" applyFont="1" applyFill="1" applyAlignment="1">
      <alignment horizontal="left" indent="1"/>
    </xf>
    <xf numFmtId="0" fontId="27" fillId="4" borderId="0" xfId="0" applyFont="1" applyFill="1" applyAlignment="1">
      <alignment horizontal="center"/>
    </xf>
    <xf numFmtId="0" fontId="27" fillId="5" borderId="0" xfId="0" applyFont="1" applyFill="1" applyAlignment="1">
      <alignment/>
    </xf>
    <xf numFmtId="0" fontId="27" fillId="4" borderId="0" xfId="0" applyFont="1" applyFill="1" applyAlignment="1">
      <alignment horizontal="left"/>
    </xf>
    <xf numFmtId="1" fontId="27" fillId="4" borderId="0" xfId="0" applyNumberFormat="1" applyFont="1" applyFill="1" applyAlignment="1">
      <alignment horizontal="center"/>
    </xf>
    <xf numFmtId="0" fontId="27" fillId="3" borderId="0" xfId="0" applyFont="1" applyFill="1" applyAlignment="1">
      <alignment/>
    </xf>
    <xf numFmtId="14" fontId="27" fillId="4" borderId="0" xfId="0" applyNumberFormat="1" applyFont="1" applyFill="1" applyAlignment="1">
      <alignment/>
    </xf>
    <xf numFmtId="0" fontId="27" fillId="4" borderId="36" xfId="0" applyFont="1" applyFill="1" applyBorder="1" applyAlignment="1">
      <alignment horizontal="centerContinuous" vertical="center"/>
    </xf>
    <xf numFmtId="0" fontId="27" fillId="4" borderId="37" xfId="0" applyFont="1" applyFill="1" applyBorder="1" applyAlignment="1">
      <alignment horizontal="centerContinuous" vertical="center"/>
    </xf>
    <xf numFmtId="0" fontId="27" fillId="4" borderId="38" xfId="0" applyFont="1" applyFill="1" applyBorder="1" applyAlignment="1">
      <alignment horizontal="centerContinuous" vertical="center"/>
    </xf>
    <xf numFmtId="0" fontId="27" fillId="4" borderId="0" xfId="0" applyFont="1" applyFill="1" applyAlignment="1">
      <alignment vertical="center"/>
    </xf>
    <xf numFmtId="0" fontId="27" fillId="4" borderId="0" xfId="0" applyFont="1" applyFill="1" applyBorder="1" applyAlignment="1">
      <alignment/>
    </xf>
    <xf numFmtId="0" fontId="32" fillId="4" borderId="0" xfId="18" applyFont="1" applyFill="1" applyBorder="1" applyAlignment="1">
      <alignment horizontal="left" vertical="top" indent="1"/>
    </xf>
    <xf numFmtId="0" fontId="27" fillId="4" borderId="0" xfId="0" applyFont="1" applyFill="1" applyAlignment="1">
      <alignment/>
    </xf>
    <xf numFmtId="0" fontId="27" fillId="4" borderId="0" xfId="0" applyFont="1" applyFill="1" applyBorder="1" applyAlignment="1">
      <alignment/>
    </xf>
    <xf numFmtId="0" fontId="27" fillId="4" borderId="38" xfId="0" applyFont="1" applyFill="1" applyBorder="1" applyAlignment="1">
      <alignment horizontal="center" vertical="center"/>
    </xf>
    <xf numFmtId="174" fontId="27" fillId="3" borderId="38" xfId="0" applyNumberFormat="1" applyFont="1" applyFill="1" applyBorder="1" applyAlignment="1">
      <alignment horizontal="center"/>
    </xf>
    <xf numFmtId="179" fontId="30" fillId="5" borderId="38" xfId="0" applyNumberFormat="1" applyFont="1" applyFill="1" applyBorder="1" applyAlignment="1">
      <alignment horizontal="center"/>
    </xf>
    <xf numFmtId="174" fontId="27" fillId="3" borderId="39" xfId="0" applyNumberFormat="1" applyFont="1" applyFill="1" applyBorder="1" applyAlignment="1">
      <alignment horizontal="center"/>
    </xf>
    <xf numFmtId="174" fontId="30" fillId="5" borderId="39" xfId="0" applyNumberFormat="1" applyFont="1" applyFill="1" applyBorder="1" applyAlignment="1">
      <alignment horizontal="center"/>
    </xf>
    <xf numFmtId="179" fontId="27" fillId="4" borderId="39" xfId="0" applyNumberFormat="1" applyFont="1" applyFill="1" applyBorder="1" applyAlignment="1">
      <alignment horizontal="center"/>
    </xf>
    <xf numFmtId="174" fontId="27" fillId="5" borderId="0" xfId="0" applyNumberFormat="1" applyFont="1" applyFill="1" applyBorder="1" applyAlignment="1">
      <alignment horizontal="center"/>
    </xf>
    <xf numFmtId="174" fontId="27" fillId="4" borderId="0" xfId="0" applyNumberFormat="1" applyFont="1" applyFill="1" applyAlignment="1">
      <alignment/>
    </xf>
    <xf numFmtId="174" fontId="27" fillId="3" borderId="17" xfId="0" applyNumberFormat="1" applyFont="1" applyFill="1" applyBorder="1" applyAlignment="1">
      <alignment horizontal="center"/>
    </xf>
    <xf numFmtId="179" fontId="30" fillId="5" borderId="19" xfId="0" applyNumberFormat="1" applyFont="1" applyFill="1" applyBorder="1" applyAlignment="1">
      <alignment horizontal="center"/>
    </xf>
    <xf numFmtId="174" fontId="30" fillId="5" borderId="19" xfId="0" applyNumberFormat="1" applyFont="1" applyFill="1" applyBorder="1" applyAlignment="1">
      <alignment horizontal="center"/>
    </xf>
    <xf numFmtId="179" fontId="27" fillId="4" borderId="38" xfId="0" applyNumberFormat="1" applyFont="1" applyFill="1" applyBorder="1" applyAlignment="1">
      <alignment horizontal="center"/>
    </xf>
    <xf numFmtId="179" fontId="30" fillId="5" borderId="18" xfId="0" applyNumberFormat="1" applyFont="1" applyFill="1" applyBorder="1" applyAlignment="1">
      <alignment horizontal="center"/>
    </xf>
    <xf numFmtId="174" fontId="30" fillId="5" borderId="18" xfId="0" applyNumberFormat="1" applyFont="1" applyFill="1" applyBorder="1" applyAlignment="1">
      <alignment horizontal="center"/>
    </xf>
    <xf numFmtId="174" fontId="30" fillId="5" borderId="38" xfId="0" applyNumberFormat="1" applyFont="1" applyFill="1" applyBorder="1" applyAlignment="1">
      <alignment horizontal="center"/>
    </xf>
    <xf numFmtId="174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174" fontId="30" fillId="0" borderId="0" xfId="0" applyNumberFormat="1" applyFont="1" applyFill="1" applyBorder="1" applyAlignment="1">
      <alignment horizontal="center"/>
    </xf>
    <xf numFmtId="179" fontId="27" fillId="4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4" fontId="27" fillId="3" borderId="0" xfId="0" applyNumberFormat="1" applyFont="1" applyFill="1" applyBorder="1" applyAlignment="1">
      <alignment horizontal="center"/>
    </xf>
    <xf numFmtId="179" fontId="35" fillId="4" borderId="0" xfId="0" applyNumberFormat="1" applyFont="1" applyFill="1" applyAlignment="1">
      <alignment horizontal="left"/>
    </xf>
    <xf numFmtId="0" fontId="27" fillId="4" borderId="0" xfId="0" applyFont="1" applyFill="1" applyAlignment="1" quotePrefix="1">
      <alignment/>
    </xf>
    <xf numFmtId="47" fontId="27" fillId="4" borderId="0" xfId="0" applyNumberFormat="1" applyFont="1" applyFill="1" applyAlignment="1">
      <alignment horizontal="left"/>
    </xf>
    <xf numFmtId="0" fontId="29" fillId="4" borderId="0" xfId="0" applyFont="1" applyFill="1" applyAlignment="1">
      <alignment/>
    </xf>
    <xf numFmtId="20" fontId="35" fillId="4" borderId="0" xfId="0" applyNumberFormat="1" applyFont="1" applyFill="1" applyAlignment="1">
      <alignment horizontal="left"/>
    </xf>
    <xf numFmtId="179" fontId="27" fillId="4" borderId="0" xfId="0" applyNumberFormat="1" applyFont="1" applyFill="1" applyAlignment="1">
      <alignment horizontal="left"/>
    </xf>
    <xf numFmtId="1" fontId="29" fillId="5" borderId="38" xfId="0" applyNumberFormat="1" applyFont="1" applyFill="1" applyBorder="1" applyAlignment="1" applyProtection="1">
      <alignment horizontal="center"/>
      <protection/>
    </xf>
    <xf numFmtId="202" fontId="29" fillId="3" borderId="38" xfId="0" applyNumberFormat="1" applyFont="1" applyFill="1" applyBorder="1" applyAlignment="1" applyProtection="1">
      <alignment horizontal="right"/>
      <protection/>
    </xf>
    <xf numFmtId="1" fontId="29" fillId="5" borderId="40" xfId="0" applyNumberFormat="1" applyFont="1" applyFill="1" applyBorder="1" applyAlignment="1" applyProtection="1">
      <alignment horizontal="center"/>
      <protection/>
    </xf>
    <xf numFmtId="202" fontId="29" fillId="3" borderId="40" xfId="0" applyNumberFormat="1" applyFont="1" applyFill="1" applyBorder="1" applyAlignment="1" applyProtection="1">
      <alignment horizontal="right"/>
      <protection/>
    </xf>
    <xf numFmtId="1" fontId="29" fillId="5" borderId="17" xfId="0" applyNumberFormat="1" applyFont="1" applyFill="1" applyBorder="1" applyAlignment="1" applyProtection="1">
      <alignment horizontal="center"/>
      <protection/>
    </xf>
    <xf numFmtId="202" fontId="29" fillId="3" borderId="17" xfId="0" applyNumberFormat="1" applyFont="1" applyFill="1" applyBorder="1" applyAlignment="1" applyProtection="1">
      <alignment horizontal="right"/>
      <protection/>
    </xf>
    <xf numFmtId="20" fontId="35" fillId="4" borderId="0" xfId="0" applyNumberFormat="1" applyFont="1" applyFill="1" applyBorder="1" applyAlignment="1">
      <alignment horizontal="left"/>
    </xf>
    <xf numFmtId="0" fontId="27" fillId="4" borderId="0" xfId="0" applyFont="1" applyFill="1" applyBorder="1" applyAlignment="1" quotePrefix="1">
      <alignment horizontal="center"/>
    </xf>
    <xf numFmtId="179" fontId="35" fillId="4" borderId="0" xfId="0" applyNumberFormat="1" applyFont="1" applyFill="1" applyBorder="1" applyAlignment="1">
      <alignment horizontal="left"/>
    </xf>
    <xf numFmtId="0" fontId="27" fillId="4" borderId="0" xfId="0" applyFont="1" applyFill="1" applyBorder="1" applyAlignment="1">
      <alignment horizontal="center"/>
    </xf>
    <xf numFmtId="0" fontId="27" fillId="4" borderId="41" xfId="0" applyFont="1" applyFill="1" applyBorder="1" applyAlignment="1">
      <alignment/>
    </xf>
    <xf numFmtId="0" fontId="27" fillId="4" borderId="28" xfId="0" applyFont="1" applyFill="1" applyBorder="1" applyAlignment="1">
      <alignment horizontal="center"/>
    </xf>
    <xf numFmtId="0" fontId="27" fillId="4" borderId="42" xfId="0" applyFont="1" applyFill="1" applyBorder="1" applyAlignment="1">
      <alignment/>
    </xf>
    <xf numFmtId="0" fontId="27" fillId="4" borderId="28" xfId="0" applyFont="1" applyFill="1" applyBorder="1" applyAlignment="1">
      <alignment/>
    </xf>
    <xf numFmtId="0" fontId="29" fillId="4" borderId="28" xfId="0" applyFont="1" applyFill="1" applyBorder="1" applyAlignment="1">
      <alignment/>
    </xf>
    <xf numFmtId="0" fontId="27" fillId="4" borderId="35" xfId="0" applyFont="1" applyFill="1" applyBorder="1" applyAlignment="1">
      <alignment/>
    </xf>
    <xf numFmtId="0" fontId="27" fillId="4" borderId="35" xfId="0" applyFont="1" applyFill="1" applyBorder="1" applyAlignment="1">
      <alignment horizontal="center"/>
    </xf>
    <xf numFmtId="0" fontId="27" fillId="4" borderId="20" xfId="0" applyFont="1" applyFill="1" applyBorder="1" applyAlignment="1">
      <alignment horizontal="center"/>
    </xf>
    <xf numFmtId="0" fontId="27" fillId="4" borderId="8" xfId="0" applyFont="1" applyFill="1" applyBorder="1" applyAlignment="1">
      <alignment horizontal="center"/>
    </xf>
    <xf numFmtId="0" fontId="27" fillId="4" borderId="35" xfId="0" applyFont="1" applyFill="1" applyBorder="1" applyAlignment="1" quotePrefix="1">
      <alignment/>
    </xf>
    <xf numFmtId="1" fontId="27" fillId="4" borderId="35" xfId="0" applyNumberFormat="1" applyFont="1" applyFill="1" applyBorder="1" applyAlignment="1">
      <alignment/>
    </xf>
    <xf numFmtId="1" fontId="27" fillId="4" borderId="20" xfId="0" applyNumberFormat="1" applyFont="1" applyFill="1" applyBorder="1" applyAlignment="1">
      <alignment/>
    </xf>
    <xf numFmtId="0" fontId="27" fillId="4" borderId="7" xfId="0" applyFont="1" applyFill="1" applyBorder="1" applyAlignment="1">
      <alignment/>
    </xf>
    <xf numFmtId="0" fontId="27" fillId="4" borderId="10" xfId="0" applyFont="1" applyFill="1" applyBorder="1" applyAlignment="1" quotePrefix="1">
      <alignment/>
    </xf>
    <xf numFmtId="0" fontId="27" fillId="4" borderId="11" xfId="0" applyFont="1" applyFill="1" applyBorder="1" applyAlignment="1">
      <alignment/>
    </xf>
    <xf numFmtId="0" fontId="27" fillId="4" borderId="12" xfId="0" applyFont="1" applyFill="1" applyBorder="1" applyAlignment="1">
      <alignment/>
    </xf>
    <xf numFmtId="1" fontId="27" fillId="4" borderId="10" xfId="0" applyNumberFormat="1" applyFont="1" applyFill="1" applyBorder="1" applyAlignment="1">
      <alignment/>
    </xf>
    <xf numFmtId="0" fontId="27" fillId="4" borderId="11" xfId="0" applyFont="1" applyFill="1" applyBorder="1" applyAlignment="1">
      <alignment horizontal="center"/>
    </xf>
    <xf numFmtId="1" fontId="27" fillId="4" borderId="12" xfId="0" applyNumberFormat="1" applyFont="1" applyFill="1" applyBorder="1" applyAlignment="1">
      <alignment/>
    </xf>
    <xf numFmtId="174" fontId="31" fillId="5" borderId="43" xfId="0" applyNumberFormat="1" applyFont="1" applyFill="1" applyBorder="1" applyAlignment="1" applyProtection="1">
      <alignment horizontal="center"/>
      <protection/>
    </xf>
    <xf numFmtId="174" fontId="31" fillId="5" borderId="44" xfId="0" applyNumberFormat="1" applyFont="1" applyFill="1" applyBorder="1" applyAlignment="1" applyProtection="1">
      <alignment horizontal="center"/>
      <protection/>
    </xf>
    <xf numFmtId="174" fontId="31" fillId="5" borderId="43" xfId="0" applyNumberFormat="1" applyFont="1" applyFill="1" applyBorder="1" applyAlignment="1" applyProtection="1" quotePrefix="1">
      <alignment horizontal="center"/>
      <protection/>
    </xf>
    <xf numFmtId="174" fontId="31" fillId="5" borderId="45" xfId="0" applyNumberFormat="1" applyFont="1" applyFill="1" applyBorder="1" applyAlignment="1" applyProtection="1">
      <alignment horizontal="center"/>
      <protection/>
    </xf>
    <xf numFmtId="174" fontId="31" fillId="5" borderId="46" xfId="0" applyNumberFormat="1" applyFont="1" applyFill="1" applyBorder="1" applyAlignment="1" applyProtection="1">
      <alignment horizontal="center"/>
      <protection/>
    </xf>
    <xf numFmtId="174" fontId="37" fillId="5" borderId="44" xfId="0" applyNumberFormat="1" applyFont="1" applyFill="1" applyBorder="1" applyAlignment="1" applyProtection="1">
      <alignment horizontal="center"/>
      <protection/>
    </xf>
    <xf numFmtId="196" fontId="36" fillId="5" borderId="47" xfId="0" applyNumberFormat="1" applyFont="1" applyFill="1" applyBorder="1" applyAlignment="1" applyProtection="1">
      <alignment horizontal="right"/>
      <protection/>
    </xf>
    <xf numFmtId="174" fontId="31" fillId="3" borderId="48" xfId="0" applyNumberFormat="1" applyFont="1" applyFill="1" applyBorder="1" applyAlignment="1" applyProtection="1">
      <alignment horizontal="center"/>
      <protection/>
    </xf>
    <xf numFmtId="174" fontId="31" fillId="3" borderId="49" xfId="0" applyNumberFormat="1" applyFont="1" applyFill="1" applyBorder="1" applyAlignment="1" applyProtection="1">
      <alignment horizontal="center"/>
      <protection/>
    </xf>
    <xf numFmtId="174" fontId="31" fillId="3" borderId="48" xfId="0" applyNumberFormat="1" applyFont="1" applyFill="1" applyBorder="1" applyAlignment="1" applyProtection="1" quotePrefix="1">
      <alignment horizontal="center"/>
      <protection/>
    </xf>
    <xf numFmtId="174" fontId="31" fillId="3" borderId="50" xfId="0" applyNumberFormat="1" applyFont="1" applyFill="1" applyBorder="1" applyAlignment="1" applyProtection="1">
      <alignment horizontal="center"/>
      <protection/>
    </xf>
    <xf numFmtId="174" fontId="31" fillId="3" borderId="51" xfId="0" applyNumberFormat="1" applyFont="1" applyFill="1" applyBorder="1" applyAlignment="1" applyProtection="1">
      <alignment horizontal="center"/>
      <protection/>
    </xf>
    <xf numFmtId="174" fontId="38" fillId="3" borderId="49" xfId="0" applyNumberFormat="1" applyFont="1" applyFill="1" applyBorder="1" applyAlignment="1" applyProtection="1">
      <alignment horizontal="center"/>
      <protection/>
    </xf>
    <xf numFmtId="196" fontId="36" fillId="3" borderId="30" xfId="0" applyNumberFormat="1" applyFont="1" applyFill="1" applyBorder="1" applyAlignment="1" applyProtection="1">
      <alignment horizontal="right"/>
      <protection/>
    </xf>
    <xf numFmtId="174" fontId="31" fillId="3" borderId="51" xfId="0" applyNumberFormat="1" applyFont="1" applyFill="1" applyBorder="1" applyAlignment="1" applyProtection="1">
      <alignment horizontal="left"/>
      <protection/>
    </xf>
    <xf numFmtId="174" fontId="31" fillId="5" borderId="45" xfId="0" applyNumberFormat="1" applyFont="1" applyFill="1" applyBorder="1" applyAlignment="1" applyProtection="1" quotePrefix="1">
      <alignment horizontal="center"/>
      <protection/>
    </xf>
    <xf numFmtId="174" fontId="31" fillId="3" borderId="50" xfId="0" applyNumberFormat="1" applyFont="1" applyFill="1" applyBorder="1" applyAlignment="1" applyProtection="1" quotePrefix="1">
      <alignment horizontal="center"/>
      <protection/>
    </xf>
    <xf numFmtId="174" fontId="37" fillId="3" borderId="49" xfId="0" applyNumberFormat="1" applyFont="1" applyFill="1" applyBorder="1" applyAlignment="1" applyProtection="1">
      <alignment horizontal="center"/>
      <protection/>
    </xf>
    <xf numFmtId="174" fontId="37" fillId="3" borderId="51" xfId="0" applyNumberFormat="1" applyFont="1" applyFill="1" applyBorder="1" applyAlignment="1" applyProtection="1">
      <alignment horizontal="center"/>
      <protection/>
    </xf>
    <xf numFmtId="196" fontId="36" fillId="3" borderId="52" xfId="0" applyNumberFormat="1" applyFont="1" applyFill="1" applyBorder="1" applyAlignment="1" applyProtection="1">
      <alignment horizontal="right"/>
      <protection/>
    </xf>
    <xf numFmtId="0" fontId="31" fillId="4" borderId="0" xfId="0" applyFont="1" applyFill="1" applyAlignment="1">
      <alignment/>
    </xf>
    <xf numFmtId="0" fontId="31" fillId="4" borderId="0" xfId="0" applyFont="1" applyFill="1" applyAlignment="1">
      <alignment horizontal="center"/>
    </xf>
    <xf numFmtId="177" fontId="36" fillId="5" borderId="17" xfId="0" applyNumberFormat="1" applyFont="1" applyFill="1" applyBorder="1" applyAlignment="1" applyProtection="1">
      <alignment horizontal="center"/>
      <protection/>
    </xf>
    <xf numFmtId="0" fontId="31" fillId="4" borderId="0" xfId="0" applyFont="1" applyFill="1" applyAlignment="1">
      <alignment horizontal="left"/>
    </xf>
    <xf numFmtId="179" fontId="36" fillId="5" borderId="38" xfId="0" applyNumberFormat="1" applyFont="1" applyFill="1" applyBorder="1" applyAlignment="1" applyProtection="1">
      <alignment horizontal="center"/>
      <protection/>
    </xf>
    <xf numFmtId="199" fontId="36" fillId="3" borderId="38" xfId="0" applyNumberFormat="1" applyFont="1" applyFill="1" applyBorder="1" applyAlignment="1">
      <alignment horizontal="center"/>
    </xf>
    <xf numFmtId="179" fontId="36" fillId="3" borderId="38" xfId="0" applyNumberFormat="1" applyFont="1" applyFill="1" applyBorder="1" applyAlignment="1">
      <alignment horizontal="center"/>
    </xf>
    <xf numFmtId="196" fontId="36" fillId="5" borderId="23" xfId="0" applyNumberFormat="1" applyFont="1" applyFill="1" applyBorder="1" applyAlignment="1" applyProtection="1">
      <alignment horizontal="right"/>
      <protection/>
    </xf>
    <xf numFmtId="174" fontId="31" fillId="3" borderId="53" xfId="0" applyNumberFormat="1" applyFont="1" applyFill="1" applyBorder="1" applyAlignment="1" applyProtection="1">
      <alignment horizontal="center"/>
      <protection/>
    </xf>
    <xf numFmtId="174" fontId="31" fillId="3" borderId="54" xfId="0" applyNumberFormat="1" applyFont="1" applyFill="1" applyBorder="1" applyAlignment="1" applyProtection="1">
      <alignment horizontal="center"/>
      <protection/>
    </xf>
    <xf numFmtId="174" fontId="31" fillId="3" borderId="53" xfId="0" applyNumberFormat="1" applyFont="1" applyFill="1" applyBorder="1" applyAlignment="1" applyProtection="1" quotePrefix="1">
      <alignment horizontal="center"/>
      <protection/>
    </xf>
    <xf numFmtId="196" fontId="36" fillId="3" borderId="55" xfId="0" applyNumberFormat="1" applyFont="1" applyFill="1" applyBorder="1" applyAlignment="1" applyProtection="1">
      <alignment horizontal="right"/>
      <protection/>
    </xf>
    <xf numFmtId="179" fontId="38" fillId="3" borderId="10" xfId="0" applyNumberFormat="1" applyFont="1" applyFill="1" applyBorder="1" applyAlignment="1">
      <alignment horizontal="right" vertical="center"/>
    </xf>
    <xf numFmtId="179" fontId="38" fillId="5" borderId="56" xfId="0" applyNumberFormat="1" applyFont="1" applyFill="1" applyBorder="1" applyAlignment="1">
      <alignment horizontal="right" vertical="center"/>
    </xf>
    <xf numFmtId="179" fontId="38" fillId="5" borderId="35" xfId="0" applyNumberFormat="1" applyFont="1" applyFill="1" applyBorder="1" applyAlignment="1">
      <alignment horizontal="right" vertical="center"/>
    </xf>
    <xf numFmtId="174" fontId="41" fillId="5" borderId="43" xfId="0" applyNumberFormat="1" applyFont="1" applyFill="1" applyBorder="1" applyAlignment="1" applyProtection="1">
      <alignment horizontal="center"/>
      <protection/>
    </xf>
    <xf numFmtId="179" fontId="38" fillId="3" borderId="57" xfId="0" applyNumberFormat="1" applyFont="1" applyFill="1" applyBorder="1" applyAlignment="1">
      <alignment horizontal="right" vertical="center"/>
    </xf>
    <xf numFmtId="179" fontId="38" fillId="3" borderId="58" xfId="0" applyNumberFormat="1" applyFont="1" applyFill="1" applyBorder="1" applyAlignment="1">
      <alignment horizontal="right" vertical="center"/>
    </xf>
    <xf numFmtId="0" fontId="31" fillId="4" borderId="35" xfId="0" applyFont="1" applyFill="1" applyBorder="1" applyAlignment="1">
      <alignment/>
    </xf>
    <xf numFmtId="0" fontId="31" fillId="4" borderId="10" xfId="0" applyFont="1" applyFill="1" applyBorder="1" applyAlignment="1">
      <alignment/>
    </xf>
    <xf numFmtId="0" fontId="31" fillId="4" borderId="16" xfId="0" applyFont="1" applyFill="1" applyBorder="1" applyAlignment="1">
      <alignment horizontal="left"/>
    </xf>
    <xf numFmtId="0" fontId="38" fillId="4" borderId="13" xfId="18" applyFont="1" applyFill="1" applyBorder="1" applyAlignment="1">
      <alignment horizontal="left" vertical="top"/>
    </xf>
    <xf numFmtId="0" fontId="31" fillId="4" borderId="14" xfId="0" applyFont="1" applyFill="1" applyBorder="1" applyAlignment="1">
      <alignment horizontal="left" vertical="top"/>
    </xf>
    <xf numFmtId="0" fontId="39" fillId="4" borderId="13" xfId="18" applyFont="1" applyFill="1" applyBorder="1" applyAlignment="1">
      <alignment horizontal="left"/>
    </xf>
    <xf numFmtId="0" fontId="33" fillId="4" borderId="14" xfId="0" applyFont="1" applyFill="1" applyBorder="1" applyAlignment="1">
      <alignment horizontal="left" vertical="top"/>
    </xf>
    <xf numFmtId="0" fontId="31" fillId="4" borderId="16" xfId="18" applyFont="1" applyFill="1" applyBorder="1" applyAlignment="1">
      <alignment horizontal="left"/>
    </xf>
    <xf numFmtId="0" fontId="34" fillId="4" borderId="14" xfId="18" applyFont="1" applyFill="1" applyBorder="1" applyAlignment="1">
      <alignment horizontal="left" vertical="top"/>
    </xf>
    <xf numFmtId="0" fontId="38" fillId="4" borderId="14" xfId="18" applyFont="1" applyFill="1" applyBorder="1" applyAlignment="1">
      <alignment horizontal="left" vertical="top"/>
    </xf>
    <xf numFmtId="174" fontId="31" fillId="3" borderId="50" xfId="0" applyNumberFormat="1" applyFont="1" applyFill="1" applyBorder="1" applyAlignment="1" applyProtection="1">
      <alignment horizontal="left"/>
      <protection/>
    </xf>
    <xf numFmtId="20" fontId="31" fillId="4" borderId="16" xfId="0" applyNumberFormat="1" applyFont="1" applyFill="1" applyBorder="1" applyAlignment="1" quotePrefix="1">
      <alignment horizontal="left"/>
    </xf>
    <xf numFmtId="174" fontId="31" fillId="3" borderId="48" xfId="0" applyNumberFormat="1" applyFont="1" applyFill="1" applyBorder="1" applyAlignment="1" applyProtection="1">
      <alignment horizontal="left"/>
      <protection/>
    </xf>
    <xf numFmtId="174" fontId="38" fillId="3" borderId="51" xfId="0" applyNumberFormat="1" applyFont="1" applyFill="1" applyBorder="1" applyAlignment="1" applyProtection="1">
      <alignment horizontal="center"/>
      <protection/>
    </xf>
    <xf numFmtId="174" fontId="31" fillId="5" borderId="43" xfId="0" applyNumberFormat="1" applyFont="1" applyFill="1" applyBorder="1" applyAlignment="1" applyProtection="1">
      <alignment horizontal="left"/>
      <protection/>
    </xf>
    <xf numFmtId="174" fontId="31" fillId="3" borderId="49" xfId="0" applyNumberFormat="1" applyFont="1" applyFill="1" applyBorder="1" applyAlignment="1" applyProtection="1">
      <alignment horizontal="left"/>
      <protection/>
    </xf>
    <xf numFmtId="0" fontId="31" fillId="4" borderId="14" xfId="0" applyFont="1" applyFill="1" applyBorder="1" applyAlignment="1">
      <alignment horizontal="left"/>
    </xf>
    <xf numFmtId="0" fontId="31" fillId="4" borderId="13" xfId="0" applyFont="1" applyFill="1" applyBorder="1" applyAlignment="1">
      <alignment horizontal="left" vertical="top"/>
    </xf>
    <xf numFmtId="0" fontId="27" fillId="4" borderId="59" xfId="0" applyFont="1" applyFill="1" applyBorder="1" applyAlignment="1">
      <alignment horizontal="centerContinuous" vertical="center"/>
    </xf>
    <xf numFmtId="0" fontId="27" fillId="4" borderId="41" xfId="0" applyFont="1" applyFill="1" applyBorder="1" applyAlignment="1">
      <alignment horizontal="centerContinuous" vertical="center"/>
    </xf>
    <xf numFmtId="0" fontId="27" fillId="4" borderId="42" xfId="0" applyFont="1" applyFill="1" applyBorder="1" applyAlignment="1">
      <alignment horizontal="centerContinuous" vertical="center"/>
    </xf>
    <xf numFmtId="0" fontId="27" fillId="4" borderId="59" xfId="0" applyFont="1" applyFill="1" applyBorder="1" applyAlignment="1">
      <alignment horizontal="centerContinuous" vertical="center" wrapText="1"/>
    </xf>
    <xf numFmtId="0" fontId="27" fillId="4" borderId="60" xfId="0" applyFont="1" applyFill="1" applyBorder="1" applyAlignment="1">
      <alignment horizontal="centerContinuous" vertical="center"/>
    </xf>
    <xf numFmtId="0" fontId="27" fillId="4" borderId="61" xfId="0" applyFont="1" applyFill="1" applyBorder="1" applyAlignment="1">
      <alignment horizontal="centerContinuous" vertical="center"/>
    </xf>
    <xf numFmtId="174" fontId="31" fillId="3" borderId="45" xfId="0" applyNumberFormat="1" applyFont="1" applyFill="1" applyBorder="1" applyAlignment="1" applyProtection="1">
      <alignment horizontal="center"/>
      <protection/>
    </xf>
    <xf numFmtId="174" fontId="31" fillId="3" borderId="46" xfId="0" applyNumberFormat="1" applyFont="1" applyFill="1" applyBorder="1" applyAlignment="1" applyProtection="1">
      <alignment horizontal="center"/>
      <protection/>
    </xf>
    <xf numFmtId="174" fontId="38" fillId="3" borderId="46" xfId="0" applyNumberFormat="1" applyFont="1" applyFill="1" applyBorder="1" applyAlignment="1" applyProtection="1">
      <alignment horizontal="center"/>
      <protection/>
    </xf>
    <xf numFmtId="174" fontId="31" fillId="5" borderId="1" xfId="0" applyNumberFormat="1" applyFont="1" applyFill="1" applyBorder="1" applyAlignment="1" applyProtection="1">
      <alignment horizontal="center"/>
      <protection/>
    </xf>
    <xf numFmtId="174" fontId="31" fillId="5" borderId="4" xfId="0" applyNumberFormat="1" applyFont="1" applyFill="1" applyBorder="1" applyAlignment="1" applyProtection="1">
      <alignment horizontal="center"/>
      <protection/>
    </xf>
    <xf numFmtId="0" fontId="31" fillId="4" borderId="16" xfId="0" applyFont="1" applyFill="1" applyBorder="1" applyAlignment="1" quotePrefix="1">
      <alignment horizontal="left"/>
    </xf>
    <xf numFmtId="45" fontId="27" fillId="4" borderId="20" xfId="0" applyNumberFormat="1" applyFont="1" applyFill="1" applyBorder="1" applyAlignment="1">
      <alignment horizontal="center"/>
    </xf>
    <xf numFmtId="179" fontId="35" fillId="6" borderId="8" xfId="0" applyNumberFormat="1" applyFont="1" applyFill="1" applyBorder="1" applyAlignment="1">
      <alignment horizontal="center"/>
    </xf>
    <xf numFmtId="179" fontId="35" fillId="6" borderId="9" xfId="0" applyNumberFormat="1" applyFont="1" applyFill="1" applyBorder="1" applyAlignment="1">
      <alignment horizontal="center"/>
    </xf>
    <xf numFmtId="174" fontId="31" fillId="5" borderId="43" xfId="0" applyNumberFormat="1" applyFont="1" applyFill="1" applyBorder="1" applyAlignment="1" applyProtection="1">
      <alignment horizontal="center"/>
      <protection/>
    </xf>
    <xf numFmtId="174" fontId="31" fillId="5" borderId="44" xfId="0" applyNumberFormat="1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>
      <alignment horizontal="center"/>
    </xf>
    <xf numFmtId="183" fontId="27" fillId="4" borderId="10" xfId="19" applyNumberFormat="1" applyFont="1" applyFill="1" applyBorder="1" applyAlignment="1">
      <alignment horizontal="left"/>
    </xf>
    <xf numFmtId="183" fontId="27" fillId="4" borderId="11" xfId="19" applyNumberFormat="1" applyFont="1" applyFill="1" applyBorder="1" applyAlignment="1">
      <alignment horizontal="left"/>
    </xf>
    <xf numFmtId="183" fontId="27" fillId="4" borderId="35" xfId="19" applyNumberFormat="1" applyFont="1" applyFill="1" applyBorder="1" applyAlignment="1">
      <alignment horizontal="left"/>
    </xf>
    <xf numFmtId="183" fontId="27" fillId="4" borderId="0" xfId="19" applyNumberFormat="1" applyFont="1" applyFill="1" applyBorder="1" applyAlignment="1">
      <alignment horizontal="left"/>
    </xf>
    <xf numFmtId="183" fontId="27" fillId="4" borderId="20" xfId="19" applyNumberFormat="1" applyFont="1" applyFill="1" applyBorder="1" applyAlignment="1">
      <alignment horizontal="center"/>
    </xf>
    <xf numFmtId="183" fontId="27" fillId="4" borderId="12" xfId="19" applyNumberFormat="1" applyFont="1" applyFill="1" applyBorder="1" applyAlignment="1">
      <alignment horizontal="center"/>
    </xf>
    <xf numFmtId="20" fontId="30" fillId="0" borderId="11" xfId="0" applyNumberFormat="1" applyFont="1" applyFill="1" applyBorder="1" applyAlignment="1">
      <alignment horizontal="center"/>
    </xf>
    <xf numFmtId="20" fontId="30" fillId="0" borderId="12" xfId="0" applyNumberFormat="1" applyFont="1" applyFill="1" applyBorder="1" applyAlignment="1">
      <alignment horizontal="center"/>
    </xf>
    <xf numFmtId="20" fontId="35" fillId="6" borderId="8" xfId="0" applyNumberFormat="1" applyFont="1" applyFill="1" applyBorder="1" applyAlignment="1">
      <alignment horizontal="center"/>
    </xf>
    <xf numFmtId="20" fontId="35" fillId="6" borderId="9" xfId="0" applyNumberFormat="1" applyFont="1" applyFill="1" applyBorder="1" applyAlignment="1">
      <alignment horizontal="center"/>
    </xf>
    <xf numFmtId="20" fontId="30" fillId="0" borderId="0" xfId="0" applyNumberFormat="1" applyFont="1" applyFill="1" applyBorder="1" applyAlignment="1">
      <alignment horizontal="center"/>
    </xf>
    <xf numFmtId="20" fontId="30" fillId="0" borderId="20" xfId="0" applyNumberFormat="1" applyFont="1" applyFill="1" applyBorder="1" applyAlignment="1">
      <alignment horizontal="center"/>
    </xf>
    <xf numFmtId="179" fontId="27" fillId="4" borderId="0" xfId="0" applyNumberFormat="1" applyFont="1" applyFill="1" applyBorder="1" applyAlignment="1">
      <alignment horizontal="center"/>
    </xf>
    <xf numFmtId="179" fontId="27" fillId="4" borderId="20" xfId="0" applyNumberFormat="1" applyFont="1" applyFill="1" applyBorder="1" applyAlignment="1">
      <alignment horizontal="center"/>
    </xf>
    <xf numFmtId="45" fontId="27" fillId="4" borderId="0" xfId="0" applyNumberFormat="1" applyFont="1" applyFill="1" applyBorder="1" applyAlignment="1">
      <alignment horizontal="center"/>
    </xf>
    <xf numFmtId="0" fontId="27" fillId="4" borderId="28" xfId="0" applyFont="1" applyFill="1" applyBorder="1" applyAlignment="1">
      <alignment horizontal="center"/>
    </xf>
    <xf numFmtId="0" fontId="27" fillId="4" borderId="42" xfId="0" applyFont="1" applyFill="1" applyBorder="1" applyAlignment="1">
      <alignment horizontal="center"/>
    </xf>
    <xf numFmtId="0" fontId="27" fillId="4" borderId="8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27" fillId="4" borderId="7" xfId="0" applyFont="1" applyFill="1" applyBorder="1" applyAlignment="1">
      <alignment horizontal="left"/>
    </xf>
    <xf numFmtId="0" fontId="27" fillId="4" borderId="8" xfId="0" applyFont="1" applyFill="1" applyBorder="1" applyAlignment="1">
      <alignment horizontal="left"/>
    </xf>
    <xf numFmtId="197" fontId="36" fillId="4" borderId="44" xfId="0" applyNumberFormat="1" applyFont="1" applyFill="1" applyBorder="1" applyAlignment="1" applyProtection="1">
      <alignment horizontal="center" vertical="center"/>
      <protection/>
    </xf>
    <xf numFmtId="197" fontId="36" fillId="4" borderId="49" xfId="0" applyNumberFormat="1" applyFont="1" applyFill="1" applyBorder="1" applyAlignment="1" applyProtection="1">
      <alignment horizontal="center" vertical="center"/>
      <protection/>
    </xf>
    <xf numFmtId="197" fontId="36" fillId="4" borderId="51" xfId="0" applyNumberFormat="1" applyFont="1" applyFill="1" applyBorder="1" applyAlignment="1" applyProtection="1">
      <alignment horizontal="center" vertical="center"/>
      <protection/>
    </xf>
    <xf numFmtId="177" fontId="36" fillId="5" borderId="62" xfId="0" applyNumberFormat="1" applyFont="1" applyFill="1" applyBorder="1" applyAlignment="1" applyProtection="1">
      <alignment horizontal="center" vertical="center"/>
      <protection/>
    </xf>
    <xf numFmtId="177" fontId="36" fillId="5" borderId="63" xfId="0" applyNumberFormat="1" applyFont="1" applyFill="1" applyBorder="1" applyAlignment="1" applyProtection="1">
      <alignment horizontal="center" vertical="center"/>
      <protection/>
    </xf>
    <xf numFmtId="177" fontId="36" fillId="5" borderId="64" xfId="0" applyNumberFormat="1" applyFont="1" applyFill="1" applyBorder="1" applyAlignment="1" applyProtection="1">
      <alignment horizontal="center" vertical="center"/>
      <protection/>
    </xf>
    <xf numFmtId="177" fontId="36" fillId="5" borderId="65" xfId="0" applyNumberFormat="1" applyFont="1" applyFill="1" applyBorder="1" applyAlignment="1" applyProtection="1">
      <alignment horizontal="center" vertical="center"/>
      <protection/>
    </xf>
    <xf numFmtId="174" fontId="31" fillId="5" borderId="43" xfId="0" applyNumberFormat="1" applyFont="1" applyFill="1" applyBorder="1" applyAlignment="1" applyProtection="1">
      <alignment horizontal="left"/>
      <protection/>
    </xf>
    <xf numFmtId="174" fontId="31" fillId="5" borderId="44" xfId="0" applyNumberFormat="1" applyFont="1" applyFill="1" applyBorder="1" applyAlignment="1" applyProtection="1">
      <alignment horizontal="left"/>
      <protection/>
    </xf>
    <xf numFmtId="197" fontId="36" fillId="4" borderId="46" xfId="0" applyNumberFormat="1" applyFont="1" applyFill="1" applyBorder="1" applyAlignment="1" applyProtection="1">
      <alignment horizontal="center" vertical="center"/>
      <protection/>
    </xf>
    <xf numFmtId="14" fontId="27" fillId="4" borderId="0" xfId="0" applyNumberFormat="1" applyFont="1" applyFill="1" applyAlignment="1">
      <alignment horizontal="left"/>
    </xf>
    <xf numFmtId="0" fontId="27" fillId="4" borderId="41" xfId="0" applyFont="1" applyFill="1" applyBorder="1" applyAlignment="1">
      <alignment horizontal="center" vertical="center"/>
    </xf>
    <xf numFmtId="0" fontId="27" fillId="4" borderId="28" xfId="0" applyFont="1" applyFill="1" applyBorder="1" applyAlignment="1">
      <alignment horizontal="center" vertical="center"/>
    </xf>
    <xf numFmtId="0" fontId="27" fillId="4" borderId="42" xfId="0" applyFont="1" applyFill="1" applyBorder="1" applyAlignment="1">
      <alignment horizontal="center" vertical="center"/>
    </xf>
    <xf numFmtId="177" fontId="36" fillId="4" borderId="62" xfId="0" applyNumberFormat="1" applyFont="1" applyFill="1" applyBorder="1" applyAlignment="1" applyProtection="1">
      <alignment horizontal="center" vertical="center"/>
      <protection/>
    </xf>
    <xf numFmtId="177" fontId="36" fillId="4" borderId="65" xfId="0" applyNumberFormat="1" applyFont="1" applyFill="1" applyBorder="1" applyAlignment="1" applyProtection="1">
      <alignment horizontal="center" vertical="center"/>
      <protection/>
    </xf>
    <xf numFmtId="197" fontId="36" fillId="4" borderId="54" xfId="0" applyNumberFormat="1" applyFont="1" applyFill="1" applyBorder="1" applyAlignment="1" applyProtection="1">
      <alignment horizontal="center" vertical="center"/>
      <protection/>
    </xf>
    <xf numFmtId="177" fontId="36" fillId="4" borderId="63" xfId="0" applyNumberFormat="1" applyFont="1" applyFill="1" applyBorder="1" applyAlignment="1" applyProtection="1">
      <alignment horizontal="center" vertical="center"/>
      <protection/>
    </xf>
    <xf numFmtId="0" fontId="31" fillId="4" borderId="35" xfId="0" applyFont="1" applyFill="1" applyBorder="1" applyAlignment="1">
      <alignment/>
    </xf>
    <xf numFmtId="0" fontId="31" fillId="4" borderId="0" xfId="0" applyFont="1" applyFill="1" applyBorder="1" applyAlignment="1">
      <alignment/>
    </xf>
    <xf numFmtId="0" fontId="27" fillId="4" borderId="0" xfId="0" applyFont="1" applyFill="1" applyAlignment="1">
      <alignment horizontal="left" indent="1"/>
    </xf>
    <xf numFmtId="0" fontId="31" fillId="4" borderId="56" xfId="0" applyFont="1" applyFill="1" applyBorder="1" applyAlignment="1">
      <alignment/>
    </xf>
    <xf numFmtId="0" fontId="31" fillId="4" borderId="66" xfId="0" applyFont="1" applyFill="1" applyBorder="1" applyAlignment="1">
      <alignment/>
    </xf>
    <xf numFmtId="177" fontId="36" fillId="5" borderId="67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21" fontId="27" fillId="4" borderId="16" xfId="0" applyNumberFormat="1" applyFont="1" applyFill="1" applyBorder="1" applyAlignment="1">
      <alignment horizontal="left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Undefinier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2"/>
          <c:order val="0"/>
          <c:tx>
            <c:v>schedule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'training schedule'!$Y$13:$Y$24</c:f>
              <c:numCache>
                <c:ptCount val="1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</c:numCache>
            </c:numRef>
          </c:cat>
          <c:val>
            <c:numRef>
              <c:f>'training schedule'!$AC$13:$AC$24</c:f>
              <c:numCache>
                <c:ptCount val="12"/>
                <c:pt idx="0">
                  <c:v>32</c:v>
                </c:pt>
                <c:pt idx="1">
                  <c:v>34</c:v>
                </c:pt>
                <c:pt idx="2">
                  <c:v>38</c:v>
                </c:pt>
                <c:pt idx="3">
                  <c:v>42</c:v>
                </c:pt>
                <c:pt idx="4">
                  <c:v>47</c:v>
                </c:pt>
                <c:pt idx="5">
                  <c:v>10</c:v>
                </c:pt>
                <c:pt idx="6">
                  <c:v>10</c:v>
                </c:pt>
                <c:pt idx="7">
                  <c:v>50</c:v>
                </c:pt>
                <c:pt idx="8">
                  <c:v>56</c:v>
                </c:pt>
                <c:pt idx="9">
                  <c:v>62</c:v>
                </c:pt>
                <c:pt idx="10">
                  <c:v>52</c:v>
                </c:pt>
                <c:pt idx="11">
                  <c:v>58.2</c:v>
                </c:pt>
              </c:numCache>
            </c:numRef>
          </c:val>
        </c:ser>
        <c:ser>
          <c:idx val="0"/>
          <c:order val="1"/>
          <c:tx>
            <c:v>done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</c:spPr>
          </c:dPt>
          <c:dPt>
            <c:idx val="1"/>
            <c:invertIfNegative val="0"/>
            <c:spPr>
              <a:solidFill>
                <a:srgbClr val="969696"/>
              </a:solidFill>
            </c:spPr>
          </c:dPt>
          <c:dPt>
            <c:idx val="2"/>
            <c:invertIfNegative val="0"/>
            <c:spPr>
              <a:solidFill>
                <a:srgbClr val="969696"/>
              </a:solidFill>
            </c:spPr>
          </c:dPt>
          <c:dPt>
            <c:idx val="3"/>
            <c:invertIfNegative val="0"/>
            <c:spPr>
              <a:solidFill>
                <a:srgbClr val="969696"/>
              </a:solidFill>
            </c:spPr>
          </c:dPt>
          <c:dPt>
            <c:idx val="4"/>
            <c:invertIfNegative val="0"/>
            <c:spPr>
              <a:solidFill>
                <a:srgbClr val="969696"/>
              </a:solidFill>
            </c:spPr>
          </c:dPt>
          <c:dPt>
            <c:idx val="5"/>
            <c:invertIfNegative val="0"/>
            <c:spPr>
              <a:solidFill>
                <a:srgbClr val="969696"/>
              </a:solidFill>
            </c:spPr>
          </c:dPt>
          <c:dPt>
            <c:idx val="6"/>
            <c:invertIfNegative val="0"/>
            <c:spPr>
              <a:solidFill>
                <a:srgbClr val="969696"/>
              </a:solidFill>
            </c:spPr>
          </c:dPt>
          <c:dPt>
            <c:idx val="7"/>
            <c:invertIfNegative val="0"/>
            <c:spPr>
              <a:solidFill>
                <a:srgbClr val="969696"/>
              </a:solidFill>
            </c:spPr>
          </c:dPt>
          <c:dPt>
            <c:idx val="8"/>
            <c:invertIfNegative val="0"/>
            <c:spPr>
              <a:solidFill>
                <a:srgbClr val="969696"/>
              </a:solidFill>
            </c:spPr>
          </c:dPt>
          <c:dPt>
            <c:idx val="9"/>
            <c:invertIfNegative val="0"/>
            <c:spPr>
              <a:solidFill>
                <a:srgbClr val="969696"/>
              </a:solidFill>
            </c:spPr>
          </c:dPt>
          <c:dPt>
            <c:idx val="10"/>
            <c:invertIfNegative val="0"/>
            <c:spPr>
              <a:solidFill>
                <a:srgbClr val="969696"/>
              </a:solidFill>
            </c:spPr>
          </c:dPt>
          <c:dPt>
            <c:idx val="11"/>
            <c:invertIfNegative val="0"/>
            <c:spPr>
              <a:solidFill>
                <a:srgbClr val="969696"/>
              </a:solidFill>
            </c:spPr>
          </c:dPt>
          <c:dPt>
            <c:idx val="12"/>
            <c:invertIfNegative val="0"/>
            <c:spPr>
              <a:solidFill>
                <a:srgbClr val="969696"/>
              </a:solidFill>
            </c:spPr>
          </c:dPt>
          <c:dPt>
            <c:idx val="13"/>
            <c:invertIfNegative val="0"/>
            <c:spPr>
              <a:solidFill>
                <a:srgbClr val="969696"/>
              </a:solidFill>
            </c:spPr>
          </c:dPt>
          <c:dPt>
            <c:idx val="14"/>
            <c:invertIfNegative val="0"/>
            <c:spPr>
              <a:solidFill>
                <a:srgbClr val="969696"/>
              </a:solidFill>
            </c:spPr>
          </c:dPt>
          <c:dPt>
            <c:idx val="15"/>
            <c:invertIfNegative val="0"/>
            <c:spPr>
              <a:solidFill>
                <a:srgbClr val="969696"/>
              </a:solidFill>
            </c:spPr>
          </c:dPt>
          <c:dPt>
            <c:idx val="16"/>
            <c:invertIfNegative val="0"/>
            <c:spPr>
              <a:solidFill>
                <a:srgbClr val="969696"/>
              </a:solidFill>
            </c:spPr>
          </c:dPt>
          <c:dPt>
            <c:idx val="17"/>
            <c:invertIfNegative val="0"/>
            <c:spPr>
              <a:solidFill>
                <a:srgbClr val="969696"/>
              </a:solidFill>
            </c:spPr>
          </c:dPt>
          <c:dPt>
            <c:idx val="18"/>
            <c:invertIfNegative val="0"/>
            <c:spPr>
              <a:solidFill>
                <a:srgbClr val="969696"/>
              </a:solidFill>
            </c:spPr>
          </c:dPt>
          <c:dPt>
            <c:idx val="19"/>
            <c:invertIfNegative val="0"/>
            <c:spPr>
              <a:solidFill>
                <a:srgbClr val="969696"/>
              </a:solidFill>
            </c:spPr>
          </c:dPt>
          <c:cat>
            <c:numRef>
              <c:f>'training schedule'!$Y$13:$Y$24</c:f>
              <c:numCache>
                <c:ptCount val="1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</c:numCache>
            </c:numRef>
          </c:cat>
          <c:val>
            <c:numRef>
              <c:f>'training schedule'!$AB$13:$AB$24</c:f>
              <c:numCache>
                <c:ptCount val="12"/>
                <c:pt idx="0">
                  <c:v>19</c:v>
                </c:pt>
                <c:pt idx="1">
                  <c:v>33.5</c:v>
                </c:pt>
                <c:pt idx="2">
                  <c:v>39.2</c:v>
                </c:pt>
                <c:pt idx="3">
                  <c:v>42.1</c:v>
                </c:pt>
                <c:pt idx="4">
                  <c:v>51</c:v>
                </c:pt>
                <c:pt idx="5">
                  <c:v>18.3</c:v>
                </c:pt>
                <c:pt idx="6">
                  <c:v>42.5</c:v>
                </c:pt>
                <c:pt idx="7">
                  <c:v>44.1</c:v>
                </c:pt>
                <c:pt idx="8">
                  <c:v>50.5</c:v>
                </c:pt>
                <c:pt idx="9">
                  <c:v>74.4</c:v>
                </c:pt>
                <c:pt idx="10">
                  <c:v>46.5</c:v>
                </c:pt>
                <c:pt idx="11">
                  <c:v>60.7</c:v>
                </c:pt>
              </c:numCache>
            </c:numRef>
          </c:val>
        </c:ser>
        <c:gapWidth val="30"/>
        <c:axId val="56325079"/>
        <c:axId val="37163664"/>
      </c:barChart>
      <c:lineChart>
        <c:grouping val="standard"/>
        <c:varyColors val="0"/>
        <c:ser>
          <c:idx val="1"/>
          <c:order val="2"/>
          <c:tx>
            <c:v>longest run schedule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FFFFCC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'training schedule'!$Y$13:$Y$24</c:f>
              <c:numCache>
                <c:ptCount val="1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</c:numCache>
            </c:numRef>
          </c:cat>
          <c:val>
            <c:numRef>
              <c:f>'training schedule'!$AA$13:$AA$24</c:f>
              <c:numCache>
                <c:ptCount val="12"/>
                <c:pt idx="0">
                  <c:v>12</c:v>
                </c:pt>
                <c:pt idx="1">
                  <c:v>14</c:v>
                </c:pt>
                <c:pt idx="2">
                  <c:v>16</c:v>
                </c:pt>
                <c:pt idx="3">
                  <c:v>20</c:v>
                </c:pt>
                <c:pt idx="4">
                  <c:v>25</c:v>
                </c:pt>
                <c:pt idx="5">
                  <c:v>10</c:v>
                </c:pt>
                <c:pt idx="6">
                  <c:v>10</c:v>
                </c:pt>
                <c:pt idx="7">
                  <c:v>24</c:v>
                </c:pt>
                <c:pt idx="8">
                  <c:v>30</c:v>
                </c:pt>
                <c:pt idx="9">
                  <c:v>32</c:v>
                </c:pt>
                <c:pt idx="10">
                  <c:v>24</c:v>
                </c:pt>
                <c:pt idx="11">
                  <c:v>42.2</c:v>
                </c:pt>
              </c:numCache>
            </c:numRef>
          </c:val>
          <c:smooth val="0"/>
        </c:ser>
        <c:ser>
          <c:idx val="3"/>
          <c:order val="3"/>
          <c:tx>
            <c:v>longest run done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'training schedule'!$Y$13:$Y$24</c:f>
              <c:numCache>
                <c:ptCount val="1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</c:numCache>
            </c:numRef>
          </c:cat>
          <c:val>
            <c:numRef>
              <c:f>'training schedule'!$Z$13:$Z$24</c:f>
              <c:numCache>
                <c:ptCount val="12"/>
                <c:pt idx="0">
                  <c:v>11</c:v>
                </c:pt>
                <c:pt idx="1">
                  <c:v>15</c:v>
                </c:pt>
                <c:pt idx="2">
                  <c:v>16.5</c:v>
                </c:pt>
                <c:pt idx="3">
                  <c:v>20.5</c:v>
                </c:pt>
                <c:pt idx="4">
                  <c:v>23.5</c:v>
                </c:pt>
                <c:pt idx="5">
                  <c:v>13</c:v>
                </c:pt>
                <c:pt idx="6">
                  <c:v>13.5</c:v>
                </c:pt>
                <c:pt idx="7">
                  <c:v>22</c:v>
                </c:pt>
                <c:pt idx="8">
                  <c:v>17.5</c:v>
                </c:pt>
                <c:pt idx="9">
                  <c:v>30.200000000000003</c:v>
                </c:pt>
                <c:pt idx="10">
                  <c:v>30.5</c:v>
                </c:pt>
                <c:pt idx="11">
                  <c:v>42.2</c:v>
                </c:pt>
              </c:numCache>
            </c:numRef>
          </c:val>
          <c:smooth val="0"/>
        </c:ser>
        <c:axId val="56325079"/>
        <c:axId val="37163664"/>
      </c:lineChart>
      <c:catAx>
        <c:axId val="56325079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163664"/>
        <c:crosses val="autoZero"/>
        <c:auto val="1"/>
        <c:lblOffset val="100"/>
        <c:noMultiLvlLbl val="0"/>
      </c:catAx>
      <c:valAx>
        <c:axId val="37163664"/>
        <c:scaling>
          <c:orientation val="minMax"/>
          <c:max val="10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632507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1875"/>
          <c:y val="0.0825"/>
          <c:w val="0.3175"/>
          <c:h val="0.182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275"/>
          <c:w val="0.97625"/>
          <c:h val="0.9535"/>
        </c:manualLayout>
      </c:layout>
      <c:lineChart>
        <c:grouping val="standard"/>
        <c:varyColors val="0"/>
        <c:ser>
          <c:idx val="0"/>
          <c:order val="0"/>
          <c:tx>
            <c:v>Ist-Tempo min/Meile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7"/>
              <c:delete val="1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80"/>
                        </a:solidFill>
                      </a:rPr>
                      <a:t>05:22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analysis!$A$28:$A$53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analysis!$D$28:$D$53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kum. Ist-Tempo min/Meile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analysis!$A$28:$A$53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analysis!$F$28:$F$53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Soll-Tempo Schnitt 7:35 min/Meile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analysis!$B$28:$B$53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66037521"/>
        <c:axId val="57466778"/>
      </c:lineChart>
      <c:lineChart>
        <c:grouping val="standard"/>
        <c:varyColors val="0"/>
        <c:ser>
          <c:idx val="3"/>
          <c:order val="2"/>
          <c:tx>
            <c:v>Puls HF/min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993300"/>
                        </a:solidFill>
                      </a:rPr>
                      <a:t/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3"/>
              <c:delete val="1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9933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"/>
              <c:pt idx="0">
                <c:v>Soll-Tempo Einteilung</c:v>
              </c:pt>
            </c:strLit>
          </c:cat>
          <c:val>
            <c:numRef>
              <c:f>analysis!$G$28:$G$53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47438955"/>
        <c:axId val="24297412"/>
      </c:lineChart>
      <c:catAx>
        <c:axId val="66037521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7466778"/>
        <c:crossesAt val="0.002777778"/>
        <c:auto val="1"/>
        <c:lblOffset val="100"/>
        <c:noMultiLvlLbl val="0"/>
      </c:catAx>
      <c:valAx>
        <c:axId val="57466778"/>
        <c:scaling>
          <c:orientation val="minMax"/>
          <c:max val="0.0059028"/>
          <c:min val="0.0046875"/>
        </c:scaling>
        <c:axPos val="l"/>
        <c:majorGridlines/>
        <c:delete val="0"/>
        <c:numFmt formatCode="mm:ss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6037521"/>
        <c:crossesAt val="1"/>
        <c:crossBetween val="midCat"/>
        <c:dispUnits/>
        <c:majorUnit val="0.0001736"/>
        <c:minorUnit val="0.0001736"/>
      </c:valAx>
      <c:catAx>
        <c:axId val="47438955"/>
        <c:scaling>
          <c:orientation val="minMax"/>
        </c:scaling>
        <c:axPos val="b"/>
        <c:delete val="1"/>
        <c:majorTickMark val="in"/>
        <c:minorTickMark val="none"/>
        <c:tickLblPos val="nextTo"/>
        <c:crossAx val="24297412"/>
        <c:crossesAt val="125"/>
        <c:auto val="1"/>
        <c:lblOffset val="100"/>
        <c:noMultiLvlLbl val="0"/>
      </c:catAx>
      <c:valAx>
        <c:axId val="24297412"/>
        <c:scaling>
          <c:orientation val="minMax"/>
          <c:max val="190"/>
          <c:min val="70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950" b="0" i="0" u="none" baseline="0"/>
            </a:pPr>
          </a:p>
        </c:txPr>
        <c:crossAx val="47438955"/>
        <c:crosses val="max"/>
        <c:crossBetween val="midCat"/>
        <c:dispUnits/>
        <c:majorUnit val="20"/>
        <c:minorUnit val="4"/>
      </c:valAx>
      <c:spPr>
        <a:noFill/>
      </c:spPr>
    </c:plotArea>
    <c:legend>
      <c:legendPos val="r"/>
      <c:layout>
        <c:manualLayout>
          <c:xMode val="edge"/>
          <c:yMode val="edge"/>
          <c:x val="0.555"/>
          <c:y val="0.082"/>
          <c:w val="0.37575"/>
          <c:h val="0.23925"/>
        </c:manualLayout>
      </c:layout>
      <c:overlay val="0"/>
      <c:spPr>
        <a:noFill/>
        <a:ln w="12700">
          <a:solidFill/>
        </a:ln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40</xdr:row>
      <xdr:rowOff>0</xdr:rowOff>
    </xdr:from>
    <xdr:to>
      <xdr:col>16</xdr:col>
      <xdr:colOff>238125</xdr:colOff>
      <xdr:row>57</xdr:row>
      <xdr:rowOff>104775</xdr:rowOff>
    </xdr:to>
    <xdr:graphicFrame>
      <xdr:nvGraphicFramePr>
        <xdr:cNvPr id="1" name="Chart 1"/>
        <xdr:cNvGraphicFramePr/>
      </xdr:nvGraphicFramePr>
      <xdr:xfrm>
        <a:off x="390525" y="5448300"/>
        <a:ext cx="44958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9</xdr:col>
      <xdr:colOff>1000125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0" y="161925"/>
        <a:ext cx="736282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-marathon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HY69"/>
  <sheetViews>
    <sheetView showGridLines="0" tabSelected="1" workbookViewId="0" topLeftCell="A4">
      <selection activeCell="U36" sqref="U36"/>
    </sheetView>
  </sheetViews>
  <sheetFormatPr defaultColWidth="9.77734375" defaultRowHeight="15"/>
  <cols>
    <col min="1" max="1" width="1.2265625" style="123" customWidth="1"/>
    <col min="2" max="2" width="3.21484375" style="125" bestFit="1" customWidth="1"/>
    <col min="3" max="4" width="5.77734375" style="123" customWidth="1"/>
    <col min="5" max="5" width="4.21484375" style="123" customWidth="1"/>
    <col min="6" max="6" width="1.77734375" style="125" customWidth="1"/>
    <col min="7" max="7" width="4.10546875" style="123" bestFit="1" customWidth="1"/>
    <col min="8" max="8" width="2.3359375" style="125" customWidth="1"/>
    <col min="9" max="9" width="4.10546875" style="123" customWidth="1"/>
    <col min="10" max="10" width="2.3359375" style="125" customWidth="1"/>
    <col min="11" max="11" width="4.10546875" style="123" customWidth="1"/>
    <col min="12" max="12" width="2.3359375" style="125" customWidth="1"/>
    <col min="13" max="13" width="4.10546875" style="123" customWidth="1"/>
    <col min="14" max="14" width="2.3359375" style="125" customWidth="1"/>
    <col min="15" max="15" width="4.10546875" style="123" customWidth="1"/>
    <col min="16" max="16" width="2.3359375" style="125" customWidth="1"/>
    <col min="17" max="17" width="4.10546875" style="123" customWidth="1"/>
    <col min="18" max="18" width="2.3359375" style="125" customWidth="1"/>
    <col min="19" max="19" width="6.21484375" style="123" customWidth="1"/>
    <col min="20" max="20" width="5.10546875" style="123" customWidth="1"/>
    <col min="21" max="21" width="16.10546875" style="123" customWidth="1"/>
    <col min="22" max="24" width="29.3359375" style="123" customWidth="1"/>
    <col min="25" max="25" width="3.99609375" style="123" customWidth="1"/>
    <col min="26" max="31" width="9.77734375" style="123" customWidth="1"/>
    <col min="32" max="34" width="4.6640625" style="123" bestFit="1" customWidth="1"/>
    <col min="35" max="35" width="4.99609375" style="123" bestFit="1" customWidth="1"/>
    <col min="36" max="36" width="4.6640625" style="123" bestFit="1" customWidth="1"/>
    <col min="37" max="38" width="5.88671875" style="123" bestFit="1" customWidth="1"/>
    <col min="39" max="39" width="4.6640625" style="123" bestFit="1" customWidth="1"/>
    <col min="40" max="40" width="9.88671875" style="123" customWidth="1"/>
    <col min="41" max="47" width="4.10546875" style="123" bestFit="1" customWidth="1"/>
    <col min="48" max="16384" width="9.77734375" style="123" customWidth="1"/>
  </cols>
  <sheetData>
    <row r="1" spans="2:26" ht="12.75">
      <c r="B1" s="124" t="s">
        <v>103</v>
      </c>
      <c r="I1" s="123" t="s">
        <v>98</v>
      </c>
      <c r="R1" s="123"/>
      <c r="U1" s="126" t="s">
        <v>82</v>
      </c>
      <c r="Z1" s="123" t="s">
        <v>59</v>
      </c>
    </row>
    <row r="2" spans="2:27" ht="12.75">
      <c r="B2" s="124" t="s">
        <v>18</v>
      </c>
      <c r="D2" s="300">
        <f ca="1">TODAY()</f>
        <v>39553</v>
      </c>
      <c r="E2" s="300"/>
      <c r="H2" s="123"/>
      <c r="I2" s="127" t="s">
        <v>19</v>
      </c>
      <c r="J2" s="123"/>
      <c r="K2" s="128">
        <f>+Z2-D2-1</f>
        <v>-3</v>
      </c>
      <c r="L2" s="123" t="s">
        <v>20</v>
      </c>
      <c r="N2" s="123"/>
      <c r="R2" s="123"/>
      <c r="U2" s="129" t="s">
        <v>21</v>
      </c>
      <c r="Z2" s="130">
        <v>39551</v>
      </c>
      <c r="AA2" s="130"/>
    </row>
    <row r="3" ht="12.75">
      <c r="B3" s="124"/>
    </row>
    <row r="4" spans="2:21" ht="15.75" customHeight="1">
      <c r="B4" s="310" t="s">
        <v>78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/>
    </row>
    <row r="5" ht="7.5" customHeight="1">
      <c r="B5" s="124"/>
    </row>
    <row r="6" spans="2:233" ht="19.5" customHeight="1" thickBot="1">
      <c r="B6" s="301" t="s">
        <v>1</v>
      </c>
      <c r="C6" s="302"/>
      <c r="D6" s="303"/>
      <c r="E6" s="251" t="s">
        <v>2</v>
      </c>
      <c r="F6" s="132"/>
      <c r="G6" s="131" t="s">
        <v>3</v>
      </c>
      <c r="H6" s="132"/>
      <c r="I6" s="131" t="s">
        <v>4</v>
      </c>
      <c r="J6" s="132"/>
      <c r="K6" s="131" t="s">
        <v>5</v>
      </c>
      <c r="L6" s="251"/>
      <c r="M6" s="252" t="s">
        <v>6</v>
      </c>
      <c r="N6" s="253"/>
      <c r="O6" s="252" t="s">
        <v>7</v>
      </c>
      <c r="P6" s="255"/>
      <c r="Q6" s="256" t="s">
        <v>8</v>
      </c>
      <c r="R6" s="253"/>
      <c r="S6" s="254" t="s">
        <v>31</v>
      </c>
      <c r="T6" s="133" t="s">
        <v>57</v>
      </c>
      <c r="U6" s="134"/>
      <c r="Y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</row>
    <row r="7" spans="2:233" ht="12" customHeight="1" hidden="1">
      <c r="B7" s="305">
        <v>15</v>
      </c>
      <c r="C7" s="299">
        <f>+C9-7</f>
        <v>39447</v>
      </c>
      <c r="D7" s="299">
        <f>+D9-7</f>
        <v>39453</v>
      </c>
      <c r="E7" s="195"/>
      <c r="F7" s="196"/>
      <c r="G7" s="195"/>
      <c r="H7" s="196"/>
      <c r="I7" s="195"/>
      <c r="J7" s="196"/>
      <c r="K7" s="195"/>
      <c r="L7" s="196"/>
      <c r="M7" s="198">
        <v>2</v>
      </c>
      <c r="N7" s="199" t="s">
        <v>95</v>
      </c>
      <c r="O7" s="198"/>
      <c r="P7" s="199"/>
      <c r="Q7" s="198">
        <v>6</v>
      </c>
      <c r="R7" s="199" t="s">
        <v>95</v>
      </c>
      <c r="S7" s="201">
        <f aca="true" t="shared" si="0" ref="S7:S12">SUM(E7:Q7)</f>
        <v>8</v>
      </c>
      <c r="T7" s="228">
        <v>66.6</v>
      </c>
      <c r="U7" s="236" t="s">
        <v>90</v>
      </c>
      <c r="Y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</row>
    <row r="8" spans="2:233" ht="12" customHeight="1" hidden="1" thickBot="1">
      <c r="B8" s="307"/>
      <c r="C8" s="291"/>
      <c r="D8" s="291"/>
      <c r="E8" s="202" t="s">
        <v>83</v>
      </c>
      <c r="F8" s="203"/>
      <c r="G8" s="202" t="s">
        <v>83</v>
      </c>
      <c r="H8" s="203"/>
      <c r="I8" s="204" t="s">
        <v>83</v>
      </c>
      <c r="J8" s="203"/>
      <c r="K8" s="202" t="s">
        <v>93</v>
      </c>
      <c r="L8" s="203"/>
      <c r="M8" s="205">
        <v>2</v>
      </c>
      <c r="N8" s="206" t="s">
        <v>95</v>
      </c>
      <c r="O8" s="202" t="s">
        <v>83</v>
      </c>
      <c r="P8" s="203"/>
      <c r="Q8" s="202">
        <v>6</v>
      </c>
      <c r="R8" s="207" t="s">
        <v>95</v>
      </c>
      <c r="S8" s="208">
        <f t="shared" si="0"/>
        <v>8</v>
      </c>
      <c r="T8" s="227"/>
      <c r="U8" s="235"/>
      <c r="V8" s="135"/>
      <c r="W8" s="135"/>
      <c r="X8" s="135"/>
      <c r="Y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</row>
    <row r="9" spans="2:233" ht="12" customHeight="1" hidden="1">
      <c r="B9" s="304">
        <v>14</v>
      </c>
      <c r="C9" s="290">
        <f>+C11-7</f>
        <v>39454</v>
      </c>
      <c r="D9" s="290">
        <f>+D11-7</f>
        <v>39460</v>
      </c>
      <c r="E9" s="266"/>
      <c r="F9" s="267"/>
      <c r="G9" s="195"/>
      <c r="H9" s="196"/>
      <c r="I9" s="197">
        <v>5</v>
      </c>
      <c r="J9" s="196" t="s">
        <v>95</v>
      </c>
      <c r="K9" s="297"/>
      <c r="L9" s="298"/>
      <c r="M9" s="198"/>
      <c r="N9" s="199"/>
      <c r="O9" s="247" t="s">
        <v>87</v>
      </c>
      <c r="P9" s="196"/>
      <c r="Q9" s="195">
        <v>6</v>
      </c>
      <c r="R9" s="196" t="s">
        <v>95</v>
      </c>
      <c r="S9" s="201">
        <f t="shared" si="0"/>
        <v>11</v>
      </c>
      <c r="T9" s="228">
        <v>66</v>
      </c>
      <c r="U9" s="236" t="s">
        <v>91</v>
      </c>
      <c r="V9" s="136"/>
      <c r="W9" s="136"/>
      <c r="X9" s="136"/>
      <c r="Y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</row>
    <row r="10" spans="2:233" ht="12" customHeight="1" hidden="1" thickBot="1">
      <c r="B10" s="307"/>
      <c r="C10" s="291"/>
      <c r="D10" s="291"/>
      <c r="E10" s="245" t="s">
        <v>89</v>
      </c>
      <c r="F10" s="248"/>
      <c r="G10" s="204" t="s">
        <v>83</v>
      </c>
      <c r="H10" s="203"/>
      <c r="I10" s="204">
        <v>5</v>
      </c>
      <c r="J10" s="203" t="s">
        <v>95</v>
      </c>
      <c r="K10" s="202" t="s">
        <v>94</v>
      </c>
      <c r="L10" s="203"/>
      <c r="M10" s="205" t="s">
        <v>83</v>
      </c>
      <c r="N10" s="206"/>
      <c r="O10" s="245" t="s">
        <v>88</v>
      </c>
      <c r="P10" s="203"/>
      <c r="Q10" s="202">
        <v>6</v>
      </c>
      <c r="R10" s="207" t="s">
        <v>95</v>
      </c>
      <c r="S10" s="208">
        <f t="shared" si="0"/>
        <v>11</v>
      </c>
      <c r="T10" s="227"/>
      <c r="U10" s="235"/>
      <c r="Y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</row>
    <row r="11" spans="2:38" s="137" customFormat="1" ht="12" customHeight="1" hidden="1">
      <c r="B11" s="304">
        <v>13</v>
      </c>
      <c r="C11" s="290">
        <f>+C13-7</f>
        <v>39461</v>
      </c>
      <c r="D11" s="290">
        <f>+D13-7</f>
        <v>39467</v>
      </c>
      <c r="E11" s="195"/>
      <c r="F11" s="196"/>
      <c r="G11" s="195"/>
      <c r="H11" s="200"/>
      <c r="I11" s="197">
        <v>5</v>
      </c>
      <c r="J11" s="196" t="s">
        <v>95</v>
      </c>
      <c r="K11" s="195"/>
      <c r="L11" s="196"/>
      <c r="M11" s="195"/>
      <c r="N11" s="196"/>
      <c r="O11" s="266"/>
      <c r="P11" s="267"/>
      <c r="Q11" s="195">
        <v>6</v>
      </c>
      <c r="R11" s="196" t="s">
        <v>95</v>
      </c>
      <c r="S11" s="201">
        <f t="shared" si="0"/>
        <v>11</v>
      </c>
      <c r="T11" s="228"/>
      <c r="U11" s="236" t="s">
        <v>92</v>
      </c>
      <c r="V11" s="138"/>
      <c r="W11" s="138"/>
      <c r="X11" s="138"/>
      <c r="Z11" s="139" t="s">
        <v>22</v>
      </c>
      <c r="AA11" s="139" t="s">
        <v>23</v>
      </c>
      <c r="AB11" s="139" t="s">
        <v>21</v>
      </c>
      <c r="AC11" s="139" t="s">
        <v>11</v>
      </c>
      <c r="AD11" s="139" t="s">
        <v>24</v>
      </c>
      <c r="AF11" s="137" t="s">
        <v>2</v>
      </c>
      <c r="AG11" s="137" t="s">
        <v>63</v>
      </c>
      <c r="AH11" s="137" t="s">
        <v>64</v>
      </c>
      <c r="AI11" s="137" t="s">
        <v>65</v>
      </c>
      <c r="AJ11" s="137" t="s">
        <v>6</v>
      </c>
      <c r="AK11" s="137" t="s">
        <v>7</v>
      </c>
      <c r="AL11" s="137" t="s">
        <v>66</v>
      </c>
    </row>
    <row r="12" spans="2:47" s="137" customFormat="1" ht="12" customHeight="1" hidden="1" thickBot="1">
      <c r="B12" s="305"/>
      <c r="C12" s="306"/>
      <c r="D12" s="306"/>
      <c r="E12" s="223" t="s">
        <v>83</v>
      </c>
      <c r="F12" s="224"/>
      <c r="G12" s="225"/>
      <c r="H12" s="224"/>
      <c r="I12" s="223" t="s">
        <v>83</v>
      </c>
      <c r="J12" s="224"/>
      <c r="K12" s="223"/>
      <c r="L12" s="224"/>
      <c r="M12" s="223"/>
      <c r="N12" s="224"/>
      <c r="O12" s="257"/>
      <c r="P12" s="258"/>
      <c r="Q12" s="257"/>
      <c r="R12" s="259"/>
      <c r="S12" s="226">
        <f t="shared" si="0"/>
        <v>0</v>
      </c>
      <c r="T12" s="231"/>
      <c r="U12" s="249"/>
      <c r="V12" s="138"/>
      <c r="W12" s="138"/>
      <c r="X12" s="138"/>
      <c r="Y12" s="137">
        <v>13</v>
      </c>
      <c r="Z12" s="140">
        <f>IF(S12&gt;0,MAX(Q12,O12,M12,K12,I12,G12,E12),"")</f>
      </c>
      <c r="AA12" s="141">
        <f>MAX(Q11,O11,M11,K11,I11,G11,E11)</f>
        <v>6</v>
      </c>
      <c r="AB12" s="142">
        <f>+S12</f>
        <v>0</v>
      </c>
      <c r="AC12" s="143">
        <f>+S11</f>
        <v>11</v>
      </c>
      <c r="AD12" s="144">
        <f>IF(+$D$2&gt;=D11,AB11-AC11,"")</f>
        <v>0</v>
      </c>
      <c r="AF12" s="145">
        <f>+E11</f>
        <v>0</v>
      </c>
      <c r="AG12" s="145">
        <f>+G11</f>
        <v>0</v>
      </c>
      <c r="AH12" s="145">
        <f>+I11</f>
        <v>5</v>
      </c>
      <c r="AI12" s="145">
        <f>+K11</f>
        <v>0</v>
      </c>
      <c r="AJ12" s="145">
        <f>+M11</f>
        <v>0</v>
      </c>
      <c r="AK12" s="145">
        <f>+O11</f>
        <v>0</v>
      </c>
      <c r="AL12" s="145">
        <f>+Q11</f>
        <v>6</v>
      </c>
      <c r="AM12" s="146">
        <f aca="true" t="shared" si="1" ref="AM12:AM24">SUM(AF12:AL12)</f>
        <v>11</v>
      </c>
      <c r="AO12" s="137" t="s">
        <v>2</v>
      </c>
      <c r="AP12" s="137" t="s">
        <v>63</v>
      </c>
      <c r="AQ12" s="137" t="s">
        <v>64</v>
      </c>
      <c r="AR12" s="137" t="s">
        <v>65</v>
      </c>
      <c r="AS12" s="137" t="s">
        <v>6</v>
      </c>
      <c r="AT12" s="137" t="s">
        <v>7</v>
      </c>
      <c r="AU12" s="137" t="s">
        <v>66</v>
      </c>
    </row>
    <row r="13" spans="2:47" s="137" customFormat="1" ht="12" customHeight="1">
      <c r="B13" s="313">
        <v>12</v>
      </c>
      <c r="C13" s="299">
        <f>+C15-7</f>
        <v>39468</v>
      </c>
      <c r="D13" s="299">
        <f>+D15-7</f>
        <v>39474</v>
      </c>
      <c r="E13" s="198"/>
      <c r="F13" s="199"/>
      <c r="G13" s="198">
        <v>10</v>
      </c>
      <c r="H13" s="199" t="s">
        <v>97</v>
      </c>
      <c r="I13" s="198"/>
      <c r="J13" s="199"/>
      <c r="K13" s="198"/>
      <c r="L13" s="199"/>
      <c r="M13" s="198">
        <v>12</v>
      </c>
      <c r="N13" s="199" t="s">
        <v>97</v>
      </c>
      <c r="O13" s="260"/>
      <c r="P13" s="261"/>
      <c r="Q13" s="260">
        <v>10</v>
      </c>
      <c r="R13" s="261" t="s">
        <v>97</v>
      </c>
      <c r="S13" s="222">
        <f aca="true" t="shared" si="2" ref="S13:S36">SUM(E13:Q13)</f>
        <v>32</v>
      </c>
      <c r="T13" s="229"/>
      <c r="U13" s="250" t="s">
        <v>99</v>
      </c>
      <c r="V13" s="138"/>
      <c r="W13" s="138"/>
      <c r="X13" s="138"/>
      <c r="Y13" s="137">
        <v>12</v>
      </c>
      <c r="Z13" s="147">
        <f>IF(S14&gt;0,MAX(E14,G14,I14,K14,M14,O14,Q14),"")</f>
        <v>11</v>
      </c>
      <c r="AA13" s="148">
        <f>MAX(Q13,O13,M13,K13,I13,G13,E13)</f>
        <v>12</v>
      </c>
      <c r="AB13" s="147">
        <f>+S14</f>
        <v>19</v>
      </c>
      <c r="AC13" s="149">
        <f>+S13</f>
        <v>32</v>
      </c>
      <c r="AD13" s="150">
        <f>IF(+$D$2&gt;=D13,AB13-AC13,"")</f>
        <v>-13</v>
      </c>
      <c r="AF13" s="145">
        <f>+E13</f>
        <v>0</v>
      </c>
      <c r="AG13" s="145">
        <f>+G13</f>
        <v>10</v>
      </c>
      <c r="AH13" s="145">
        <f>+I13</f>
        <v>0</v>
      </c>
      <c r="AI13" s="145">
        <f>+K13</f>
        <v>0</v>
      </c>
      <c r="AJ13" s="145">
        <f>+M13</f>
        <v>12</v>
      </c>
      <c r="AK13" s="145">
        <f>+O13</f>
        <v>0</v>
      </c>
      <c r="AL13" s="145">
        <f>+Q13</f>
        <v>10</v>
      </c>
      <c r="AM13" s="146">
        <f t="shared" si="1"/>
        <v>32</v>
      </c>
      <c r="AO13" s="137" t="s">
        <v>61</v>
      </c>
      <c r="AP13" s="137" t="s">
        <v>61</v>
      </c>
      <c r="AQ13" s="137" t="s">
        <v>61</v>
      </c>
      <c r="AR13" s="137" t="s">
        <v>61</v>
      </c>
      <c r="AS13" s="137" t="s">
        <v>61</v>
      </c>
      <c r="AT13" s="137" t="s">
        <v>61</v>
      </c>
      <c r="AU13" s="137" t="s">
        <v>61</v>
      </c>
    </row>
    <row r="14" spans="2:47" s="137" customFormat="1" ht="12" customHeight="1" thickBot="1">
      <c r="B14" s="295"/>
      <c r="C14" s="291"/>
      <c r="D14" s="291"/>
      <c r="E14" s="202"/>
      <c r="F14" s="203"/>
      <c r="G14" s="202"/>
      <c r="H14" s="203"/>
      <c r="I14" s="202"/>
      <c r="J14" s="203"/>
      <c r="K14" s="202">
        <v>8</v>
      </c>
      <c r="L14" s="203" t="s">
        <v>97</v>
      </c>
      <c r="M14" s="205"/>
      <c r="N14" s="209"/>
      <c r="O14" s="202"/>
      <c r="P14" s="203"/>
      <c r="Q14" s="202">
        <v>11</v>
      </c>
      <c r="R14" s="207" t="s">
        <v>97</v>
      </c>
      <c r="S14" s="208">
        <f t="shared" si="2"/>
        <v>19</v>
      </c>
      <c r="T14" s="227">
        <v>68.3</v>
      </c>
      <c r="U14" s="235" t="s">
        <v>100</v>
      </c>
      <c r="V14" s="138"/>
      <c r="W14" s="138"/>
      <c r="X14" s="138"/>
      <c r="Y14" s="137">
        <v>11</v>
      </c>
      <c r="Z14" s="140">
        <f>IF(S16&gt;0,MAX(E16,G16,I16,K16,M16,O16,Q16),"")</f>
        <v>15</v>
      </c>
      <c r="AA14" s="151">
        <f>MAX(Q15,O15,M15,K15,I15,G15,E15)</f>
        <v>14</v>
      </c>
      <c r="AB14" s="140">
        <f>+S16</f>
        <v>33.5</v>
      </c>
      <c r="AC14" s="152">
        <f>+S15</f>
        <v>34</v>
      </c>
      <c r="AD14" s="150">
        <f>IF(+$D$2&gt;=D15,AB14-AC14,"")</f>
        <v>-0.5</v>
      </c>
      <c r="AF14" s="145" t="str">
        <f>+E15</f>
        <v>travel</v>
      </c>
      <c r="AG14" s="145" t="str">
        <f>+G15</f>
        <v>gym</v>
      </c>
      <c r="AH14" s="145">
        <f>+I15</f>
        <v>10</v>
      </c>
      <c r="AI14" s="145" t="str">
        <f>+K15</f>
        <v>ind.bike</v>
      </c>
      <c r="AJ14" s="145">
        <f>+M15</f>
        <v>10</v>
      </c>
      <c r="AK14" s="145" t="str">
        <f>+O15</f>
        <v>gym</v>
      </c>
      <c r="AL14" s="145">
        <f>+Q15</f>
        <v>14</v>
      </c>
      <c r="AM14" s="146">
        <f t="shared" si="1"/>
        <v>34</v>
      </c>
      <c r="AO14" s="137" t="s">
        <v>2</v>
      </c>
      <c r="AP14" s="137" t="s">
        <v>63</v>
      </c>
      <c r="AQ14" s="137" t="s">
        <v>64</v>
      </c>
      <c r="AR14" s="137" t="s">
        <v>65</v>
      </c>
      <c r="AS14" s="137" t="s">
        <v>6</v>
      </c>
      <c r="AT14" s="137" t="s">
        <v>7</v>
      </c>
      <c r="AU14" s="137" t="s">
        <v>66</v>
      </c>
    </row>
    <row r="15" spans="2:47" s="137" customFormat="1" ht="12" customHeight="1">
      <c r="B15" s="296">
        <v>11</v>
      </c>
      <c r="C15" s="290">
        <f>+C17-7</f>
        <v>39475</v>
      </c>
      <c r="D15" s="290">
        <f>+D17-7</f>
        <v>39481</v>
      </c>
      <c r="E15" s="195" t="s">
        <v>86</v>
      </c>
      <c r="F15" s="196"/>
      <c r="G15" s="195" t="s">
        <v>83</v>
      </c>
      <c r="H15" s="196"/>
      <c r="I15" s="195">
        <v>10</v>
      </c>
      <c r="J15" s="196" t="s">
        <v>97</v>
      </c>
      <c r="K15" s="247" t="s">
        <v>102</v>
      </c>
      <c r="L15" s="196"/>
      <c r="M15" s="195">
        <v>10</v>
      </c>
      <c r="N15" s="196" t="s">
        <v>95</v>
      </c>
      <c r="O15" s="195" t="s">
        <v>83</v>
      </c>
      <c r="P15" s="196"/>
      <c r="Q15" s="195">
        <v>14</v>
      </c>
      <c r="R15" s="196" t="s">
        <v>96</v>
      </c>
      <c r="S15" s="201">
        <f t="shared" si="2"/>
        <v>34</v>
      </c>
      <c r="T15" s="228"/>
      <c r="U15" s="236"/>
      <c r="V15" s="138"/>
      <c r="W15" s="138"/>
      <c r="X15" s="138"/>
      <c r="Y15" s="137">
        <v>10</v>
      </c>
      <c r="Z15" s="140">
        <f>IF(S18&gt;0,MAX(E18,G18,I18,K18,M18,O18,Q18),"")</f>
        <v>16.5</v>
      </c>
      <c r="AA15" s="151">
        <f>MAX(Q17,O17,M17,K17,I17,G17,E17)</f>
        <v>16</v>
      </c>
      <c r="AB15" s="140">
        <f>+S18</f>
        <v>39.2</v>
      </c>
      <c r="AC15" s="152">
        <f>+S17</f>
        <v>38</v>
      </c>
      <c r="AD15" s="150">
        <f>IF(+$D$2&gt;=D17,AB15-AC15,"")</f>
        <v>1.2000000000000028</v>
      </c>
      <c r="AF15" s="145" t="str">
        <f>+E17</f>
        <v>ind.bike</v>
      </c>
      <c r="AG15" s="145">
        <f>+G17</f>
        <v>10</v>
      </c>
      <c r="AH15" s="145" t="str">
        <f>+I17</f>
        <v>gym</v>
      </c>
      <c r="AI15" s="145" t="str">
        <f>+K17</f>
        <v>ind.bike</v>
      </c>
      <c r="AJ15" s="145">
        <f>+M17</f>
        <v>12</v>
      </c>
      <c r="AK15" s="145" t="str">
        <f>+O17</f>
        <v>gym</v>
      </c>
      <c r="AL15" s="145">
        <f>+Q17</f>
        <v>16</v>
      </c>
      <c r="AM15" s="146">
        <f t="shared" si="1"/>
        <v>38</v>
      </c>
      <c r="AO15" s="137" t="s">
        <v>67</v>
      </c>
      <c r="AP15" s="137" t="s">
        <v>67</v>
      </c>
      <c r="AQ15" s="137" t="s">
        <v>67</v>
      </c>
      <c r="AR15" s="137" t="s">
        <v>67</v>
      </c>
      <c r="AS15" s="137" t="s">
        <v>67</v>
      </c>
      <c r="AT15" s="137" t="s">
        <v>67</v>
      </c>
      <c r="AU15" s="137" t="s">
        <v>67</v>
      </c>
    </row>
    <row r="16" spans="2:47" s="137" customFormat="1" ht="12" customHeight="1" thickBot="1">
      <c r="B16" s="295"/>
      <c r="C16" s="292"/>
      <c r="D16" s="292"/>
      <c r="E16" s="205"/>
      <c r="F16" s="206"/>
      <c r="G16" s="211">
        <v>8</v>
      </c>
      <c r="H16" s="206" t="s">
        <v>96</v>
      </c>
      <c r="I16" s="205" t="s">
        <v>83</v>
      </c>
      <c r="J16" s="206"/>
      <c r="K16" s="205">
        <v>10.5</v>
      </c>
      <c r="L16" s="206" t="s">
        <v>95</v>
      </c>
      <c r="M16" s="211"/>
      <c r="N16" s="206"/>
      <c r="O16" s="205" t="s">
        <v>83</v>
      </c>
      <c r="P16" s="213"/>
      <c r="Q16" s="205">
        <v>15</v>
      </c>
      <c r="R16" s="206" t="s">
        <v>95</v>
      </c>
      <c r="S16" s="214">
        <f t="shared" si="2"/>
        <v>33.5</v>
      </c>
      <c r="T16" s="232">
        <v>68.1</v>
      </c>
      <c r="U16" s="235"/>
      <c r="V16" s="138"/>
      <c r="W16" s="138"/>
      <c r="X16" s="138"/>
      <c r="Y16" s="137">
        <v>9</v>
      </c>
      <c r="Z16" s="140">
        <f>IF(S20&gt;0,MAX(E20,G20,I20,K20,M20,O20,Q20),"")</f>
        <v>20.5</v>
      </c>
      <c r="AA16" s="151">
        <f>MAX(Q19,O19,M19,K19,I19,G19,E19)</f>
        <v>20</v>
      </c>
      <c r="AB16" s="140">
        <f>+S20</f>
        <v>42.1</v>
      </c>
      <c r="AC16" s="152">
        <f>+S19</f>
        <v>42</v>
      </c>
      <c r="AD16" s="150">
        <f>IF(+$D$2&gt;=D19,AB16-AC16,"")</f>
        <v>0.10000000000000142</v>
      </c>
      <c r="AF16" s="145" t="str">
        <f>+E19</f>
        <v>ind.bike</v>
      </c>
      <c r="AG16" s="145">
        <f>+G19</f>
        <v>10</v>
      </c>
      <c r="AH16" s="145" t="str">
        <f>+I19</f>
        <v>gym</v>
      </c>
      <c r="AI16" s="145" t="str">
        <f>+K19</f>
        <v>ind.bike</v>
      </c>
      <c r="AJ16" s="145">
        <f>+M19</f>
        <v>12</v>
      </c>
      <c r="AK16" s="145" t="str">
        <f>+O19</f>
        <v>gym</v>
      </c>
      <c r="AL16" s="145">
        <f>+Q19</f>
        <v>20</v>
      </c>
      <c r="AM16" s="146">
        <f t="shared" si="1"/>
        <v>42</v>
      </c>
      <c r="AO16" s="137" t="s">
        <v>2</v>
      </c>
      <c r="AP16" s="137" t="s">
        <v>63</v>
      </c>
      <c r="AQ16" s="137" t="s">
        <v>64</v>
      </c>
      <c r="AR16" s="137" t="s">
        <v>65</v>
      </c>
      <c r="AS16" s="137" t="s">
        <v>6</v>
      </c>
      <c r="AT16" s="137" t="s">
        <v>7</v>
      </c>
      <c r="AU16" s="137" t="s">
        <v>66</v>
      </c>
    </row>
    <row r="17" spans="2:47" s="137" customFormat="1" ht="12" customHeight="1">
      <c r="B17" s="296">
        <v>10</v>
      </c>
      <c r="C17" s="299">
        <f>+C19-7</f>
        <v>39482</v>
      </c>
      <c r="D17" s="299">
        <f>+D19-7</f>
        <v>39488</v>
      </c>
      <c r="E17" s="247" t="s">
        <v>102</v>
      </c>
      <c r="F17" s="199"/>
      <c r="G17" s="210">
        <v>10</v>
      </c>
      <c r="H17" s="199" t="s">
        <v>97</v>
      </c>
      <c r="I17" s="198" t="s">
        <v>83</v>
      </c>
      <c r="J17" s="199"/>
      <c r="K17" s="247" t="s">
        <v>102</v>
      </c>
      <c r="L17" s="199"/>
      <c r="M17" s="198">
        <v>12</v>
      </c>
      <c r="N17" s="199" t="s">
        <v>95</v>
      </c>
      <c r="O17" s="198" t="s">
        <v>83</v>
      </c>
      <c r="P17" s="199"/>
      <c r="Q17" s="198">
        <v>16</v>
      </c>
      <c r="R17" s="199" t="s">
        <v>96</v>
      </c>
      <c r="S17" s="222">
        <f t="shared" si="2"/>
        <v>38</v>
      </c>
      <c r="T17" s="229"/>
      <c r="U17" s="237"/>
      <c r="V17" s="138"/>
      <c r="W17" s="138"/>
      <c r="X17" s="138"/>
      <c r="Y17" s="137">
        <v>8</v>
      </c>
      <c r="Z17" s="140">
        <f>IF(S22&gt;0,MAX(E22,G22,I22,K22,M22,O22,Q22),"")</f>
        <v>23.5</v>
      </c>
      <c r="AA17" s="151">
        <f>MAX(Q21,O21,M21,K21,I21,G21,E21)</f>
        <v>25</v>
      </c>
      <c r="AB17" s="140">
        <f>+S22</f>
        <v>51</v>
      </c>
      <c r="AC17" s="152">
        <f>+S21</f>
        <v>47</v>
      </c>
      <c r="AD17" s="150">
        <f>IF(+$D$2&gt;=D21,AB17-AC17,"")</f>
        <v>4</v>
      </c>
      <c r="AF17" s="145" t="str">
        <f>+E21</f>
        <v>ind.bike</v>
      </c>
      <c r="AG17" s="145">
        <f>+G21</f>
        <v>10</v>
      </c>
      <c r="AH17" s="145" t="str">
        <f>+I21</f>
        <v>gym</v>
      </c>
      <c r="AI17" s="145" t="str">
        <f>+K21</f>
        <v>ind.bike</v>
      </c>
      <c r="AJ17" s="145">
        <f>+M21</f>
        <v>12</v>
      </c>
      <c r="AK17" s="145" t="str">
        <f>+O21</f>
        <v>gym</v>
      </c>
      <c r="AL17" s="145">
        <f>+Q21</f>
        <v>25</v>
      </c>
      <c r="AM17" s="146">
        <f t="shared" si="1"/>
        <v>47</v>
      </c>
      <c r="AO17" s="137" t="s">
        <v>62</v>
      </c>
      <c r="AP17" s="137" t="s">
        <v>62</v>
      </c>
      <c r="AQ17" s="137" t="s">
        <v>62</v>
      </c>
      <c r="AR17" s="137" t="s">
        <v>62</v>
      </c>
      <c r="AS17" s="137" t="s">
        <v>62</v>
      </c>
      <c r="AT17" s="137" t="s">
        <v>62</v>
      </c>
      <c r="AU17" s="137" t="s">
        <v>62</v>
      </c>
    </row>
    <row r="18" spans="2:39" s="137" customFormat="1" ht="12" customHeight="1" thickBot="1">
      <c r="B18" s="295"/>
      <c r="C18" s="292"/>
      <c r="D18" s="292"/>
      <c r="E18" s="205"/>
      <c r="F18" s="206"/>
      <c r="G18" s="211">
        <v>12.2</v>
      </c>
      <c r="H18" s="206" t="s">
        <v>96</v>
      </c>
      <c r="I18" s="205" t="s">
        <v>83</v>
      </c>
      <c r="J18" s="206"/>
      <c r="K18" s="205">
        <v>10.5</v>
      </c>
      <c r="L18" s="206" t="s">
        <v>95</v>
      </c>
      <c r="M18" s="243" t="s">
        <v>105</v>
      </c>
      <c r="N18" s="206"/>
      <c r="O18" s="243" t="s">
        <v>106</v>
      </c>
      <c r="P18" s="206"/>
      <c r="Q18" s="211">
        <v>16.5</v>
      </c>
      <c r="R18" s="246" t="s">
        <v>97</v>
      </c>
      <c r="S18" s="214">
        <f t="shared" si="2"/>
        <v>39.2</v>
      </c>
      <c r="T18" s="232">
        <v>67.6</v>
      </c>
      <c r="U18" s="235"/>
      <c r="V18" s="138"/>
      <c r="W18" s="138"/>
      <c r="X18" s="138"/>
      <c r="Y18" s="137">
        <v>7</v>
      </c>
      <c r="Z18" s="140">
        <f>IF(S24&gt;0,MAX(E24,G24,I24,K24,M24,O24,Q24),"")</f>
        <v>13</v>
      </c>
      <c r="AA18" s="151">
        <f>MAX(Q23,O23,M23,K23,I23,G23,E23)</f>
        <v>10</v>
      </c>
      <c r="AB18" s="140">
        <f>+S24</f>
        <v>18.3</v>
      </c>
      <c r="AC18" s="152">
        <f>+S23</f>
        <v>10</v>
      </c>
      <c r="AD18" s="150">
        <f>IF(+$D$2&gt;=D23,AB18-AC18,"")</f>
        <v>8.3</v>
      </c>
      <c r="AF18" s="145">
        <f>+E23</f>
        <v>0</v>
      </c>
      <c r="AG18" s="145">
        <f>+G23</f>
        <v>10</v>
      </c>
      <c r="AH18" s="145" t="str">
        <f>+I23</f>
        <v>gym</v>
      </c>
      <c r="AI18" s="145">
        <f>+K23</f>
        <v>0</v>
      </c>
      <c r="AJ18" s="145" t="str">
        <f>+M23</f>
        <v>travel</v>
      </c>
      <c r="AK18" s="145" t="str">
        <f>+O23</f>
        <v>bike</v>
      </c>
      <c r="AL18" s="145" t="str">
        <f>+Q23</f>
        <v>bike</v>
      </c>
      <c r="AM18" s="146">
        <f t="shared" si="1"/>
        <v>10</v>
      </c>
    </row>
    <row r="19" spans="2:39" s="137" customFormat="1" ht="12" customHeight="1">
      <c r="B19" s="296">
        <v>9</v>
      </c>
      <c r="C19" s="299">
        <f>+C21-7</f>
        <v>39489</v>
      </c>
      <c r="D19" s="299">
        <f>+D21-7</f>
        <v>39495</v>
      </c>
      <c r="E19" s="247" t="s">
        <v>102</v>
      </c>
      <c r="F19" s="199"/>
      <c r="G19" s="210">
        <v>10</v>
      </c>
      <c r="H19" s="199" t="s">
        <v>97</v>
      </c>
      <c r="I19" s="198" t="s">
        <v>83</v>
      </c>
      <c r="J19" s="199"/>
      <c r="K19" s="247" t="s">
        <v>102</v>
      </c>
      <c r="L19" s="199"/>
      <c r="M19" s="198">
        <v>12</v>
      </c>
      <c r="N19" s="199" t="s">
        <v>95</v>
      </c>
      <c r="O19" s="198" t="s">
        <v>83</v>
      </c>
      <c r="P19" s="199"/>
      <c r="Q19" s="198">
        <v>20</v>
      </c>
      <c r="R19" s="199" t="s">
        <v>96</v>
      </c>
      <c r="S19" s="222">
        <f t="shared" si="2"/>
        <v>42</v>
      </c>
      <c r="T19" s="229"/>
      <c r="U19" s="237"/>
      <c r="V19" s="138"/>
      <c r="W19" s="138"/>
      <c r="X19" s="138"/>
      <c r="Y19" s="137">
        <v>6</v>
      </c>
      <c r="Z19" s="140">
        <f>IF(S26&gt;0,MAX(E26,G26,I26,K26,M26,O26,Q26),"")</f>
        <v>13.5</v>
      </c>
      <c r="AA19" s="151">
        <f>MAX(Q25,O25,M25,K25,I25,G25,E25)</f>
        <v>10</v>
      </c>
      <c r="AB19" s="140">
        <f>+S26</f>
        <v>42.5</v>
      </c>
      <c r="AC19" s="152">
        <f>+S25</f>
        <v>10</v>
      </c>
      <c r="AD19" s="150">
        <f>IF(+$D$2&gt;=D25,AB19-AC19,"")</f>
        <v>32.5</v>
      </c>
      <c r="AF19" s="145">
        <f>+E25</f>
        <v>0</v>
      </c>
      <c r="AG19" s="145" t="str">
        <f>+G25</f>
        <v>bike</v>
      </c>
      <c r="AH19" s="145" t="str">
        <f>+I25</f>
        <v>bike</v>
      </c>
      <c r="AI19" s="145">
        <f>+K25</f>
        <v>10</v>
      </c>
      <c r="AJ19" s="145" t="str">
        <f>+M25</f>
        <v>bike</v>
      </c>
      <c r="AK19" s="145" t="str">
        <f>+O25</f>
        <v>bike</v>
      </c>
      <c r="AL19" s="145" t="str">
        <f>+Q25</f>
        <v>travel</v>
      </c>
      <c r="AM19" s="146">
        <f t="shared" si="1"/>
        <v>10</v>
      </c>
    </row>
    <row r="20" spans="2:39" s="137" customFormat="1" ht="12" customHeight="1" thickBot="1">
      <c r="B20" s="295"/>
      <c r="C20" s="292"/>
      <c r="D20" s="292"/>
      <c r="E20" s="205"/>
      <c r="F20" s="206"/>
      <c r="G20" s="211">
        <v>10.1</v>
      </c>
      <c r="H20" s="206" t="s">
        <v>95</v>
      </c>
      <c r="I20" s="205" t="s">
        <v>83</v>
      </c>
      <c r="J20" s="206"/>
      <c r="K20" s="243" t="s">
        <v>102</v>
      </c>
      <c r="L20" s="206"/>
      <c r="M20" s="205">
        <v>11.5</v>
      </c>
      <c r="N20" s="206" t="s">
        <v>97</v>
      </c>
      <c r="O20" s="205" t="s">
        <v>83</v>
      </c>
      <c r="P20" s="206"/>
      <c r="Q20" s="211">
        <v>20.5</v>
      </c>
      <c r="R20" s="246" t="s">
        <v>97</v>
      </c>
      <c r="S20" s="214">
        <f t="shared" si="2"/>
        <v>42.1</v>
      </c>
      <c r="T20" s="232">
        <v>68.1</v>
      </c>
      <c r="U20" s="235"/>
      <c r="V20" s="138"/>
      <c r="W20" s="138"/>
      <c r="X20" s="138"/>
      <c r="Y20" s="137">
        <v>5</v>
      </c>
      <c r="Z20" s="140">
        <f>IF(S28&gt;0,MAX(E28,G28,I28,K28,M28,O28,Q28),"")</f>
        <v>22</v>
      </c>
      <c r="AA20" s="151">
        <f>MAX(Q27,O27,M27,K27,I27,G27,E27)</f>
        <v>24</v>
      </c>
      <c r="AB20" s="140">
        <f>+S28</f>
        <v>44.1</v>
      </c>
      <c r="AC20" s="152">
        <f>+S27</f>
        <v>50</v>
      </c>
      <c r="AD20" s="150">
        <f>IF(+$D$2&gt;=D27,AB20-AC20,"")</f>
        <v>-5.899999999999999</v>
      </c>
      <c r="AF20" s="145">
        <f>+E27</f>
        <v>7</v>
      </c>
      <c r="AG20" s="145" t="str">
        <f>+G27</f>
        <v>gym</v>
      </c>
      <c r="AH20" s="145">
        <f>+I27</f>
        <v>12</v>
      </c>
      <c r="AI20" s="145">
        <f>+K27</f>
        <v>7</v>
      </c>
      <c r="AJ20" s="145">
        <f>+M27</f>
        <v>0</v>
      </c>
      <c r="AK20" s="145">
        <f>+O27</f>
        <v>24</v>
      </c>
      <c r="AL20" s="145">
        <f>+Q27</f>
        <v>0</v>
      </c>
      <c r="AM20" s="146">
        <f t="shared" si="1"/>
        <v>50</v>
      </c>
    </row>
    <row r="21" spans="2:39" s="137" customFormat="1" ht="12" customHeight="1">
      <c r="B21" s="296">
        <v>8</v>
      </c>
      <c r="C21" s="299">
        <f>+C23-7</f>
        <v>39496</v>
      </c>
      <c r="D21" s="299">
        <f>+D23-7</f>
        <v>39502</v>
      </c>
      <c r="E21" s="247" t="s">
        <v>102</v>
      </c>
      <c r="F21" s="199"/>
      <c r="G21" s="198">
        <v>10</v>
      </c>
      <c r="H21" s="199" t="s">
        <v>97</v>
      </c>
      <c r="I21" s="198" t="s">
        <v>83</v>
      </c>
      <c r="J21" s="199"/>
      <c r="K21" s="247" t="s">
        <v>102</v>
      </c>
      <c r="L21" s="199"/>
      <c r="M21" s="198">
        <v>12</v>
      </c>
      <c r="N21" s="199" t="s">
        <v>95</v>
      </c>
      <c r="O21" s="198" t="s">
        <v>83</v>
      </c>
      <c r="P21" s="199"/>
      <c r="Q21" s="198">
        <v>25</v>
      </c>
      <c r="R21" s="199" t="s">
        <v>97</v>
      </c>
      <c r="S21" s="222">
        <f t="shared" si="2"/>
        <v>47</v>
      </c>
      <c r="T21" s="229"/>
      <c r="U21" s="242"/>
      <c r="V21" s="138"/>
      <c r="W21" s="138"/>
      <c r="X21" s="138"/>
      <c r="Y21" s="137">
        <v>4</v>
      </c>
      <c r="Z21" s="140">
        <f>IF(S30&gt;0,MAX(E30,G30,I30,K30,M30,O30,Q30),"")</f>
        <v>17.5</v>
      </c>
      <c r="AA21" s="151">
        <f>MAX(Q29,O29,M29,K29,I29,G29,E29)</f>
        <v>30</v>
      </c>
      <c r="AB21" s="140">
        <f>+S30</f>
        <v>50.5</v>
      </c>
      <c r="AC21" s="152">
        <f>+S29</f>
        <v>56</v>
      </c>
      <c r="AD21" s="150">
        <f>IF(+$D$2&gt;=D29,AB21-AC21,"")</f>
        <v>-5.5</v>
      </c>
      <c r="AF21" s="145">
        <f>+E29</f>
        <v>0</v>
      </c>
      <c r="AG21" s="145">
        <f>+G29</f>
        <v>12</v>
      </c>
      <c r="AH21" s="145">
        <f>+I29</f>
        <v>0</v>
      </c>
      <c r="AI21" s="145">
        <f>+K29</f>
        <v>14</v>
      </c>
      <c r="AJ21" s="145">
        <f>+M29</f>
        <v>0</v>
      </c>
      <c r="AK21" s="145">
        <f>+O29</f>
        <v>30</v>
      </c>
      <c r="AL21" s="145">
        <f>+Q29</f>
        <v>0</v>
      </c>
      <c r="AM21" s="146">
        <f t="shared" si="1"/>
        <v>56</v>
      </c>
    </row>
    <row r="22" spans="2:39" s="137" customFormat="1" ht="12" customHeight="1" thickBot="1">
      <c r="B22" s="294"/>
      <c r="C22" s="291"/>
      <c r="D22" s="291"/>
      <c r="E22" s="202"/>
      <c r="F22" s="203"/>
      <c r="G22" s="204">
        <v>10.2</v>
      </c>
      <c r="H22" s="203" t="s">
        <v>97</v>
      </c>
      <c r="I22" s="202" t="s">
        <v>83</v>
      </c>
      <c r="J22" s="212"/>
      <c r="K22" s="202">
        <v>12.3</v>
      </c>
      <c r="L22" s="203" t="s">
        <v>96</v>
      </c>
      <c r="M22" s="205">
        <v>5</v>
      </c>
      <c r="N22" s="206" t="s">
        <v>97</v>
      </c>
      <c r="O22" s="245" t="s">
        <v>107</v>
      </c>
      <c r="P22" s="212"/>
      <c r="Q22" s="202">
        <v>23.5</v>
      </c>
      <c r="R22" s="207" t="s">
        <v>97</v>
      </c>
      <c r="S22" s="208">
        <f t="shared" si="2"/>
        <v>51</v>
      </c>
      <c r="T22" s="227">
        <v>68.6</v>
      </c>
      <c r="U22" s="235"/>
      <c r="V22" s="138"/>
      <c r="W22" s="138"/>
      <c r="X22" s="138"/>
      <c r="Y22" s="137">
        <v>3</v>
      </c>
      <c r="Z22" s="140">
        <f>IF(S32&gt;0,MAX(E32,G32,I32,K32,M32,O32,Q32),"")</f>
        <v>30.200000000000003</v>
      </c>
      <c r="AA22" s="151">
        <f>MAX(Q31,O31,M31,K31,I31,G31,E31)</f>
        <v>32</v>
      </c>
      <c r="AB22" s="140">
        <f>+S32</f>
        <v>74.4</v>
      </c>
      <c r="AC22" s="152">
        <f>+S31</f>
        <v>62</v>
      </c>
      <c r="AD22" s="150">
        <f>IF(+$D$2&gt;=D31,AB22-AC22,"")</f>
        <v>12.400000000000006</v>
      </c>
      <c r="AF22" s="145">
        <f>+E31</f>
        <v>10</v>
      </c>
      <c r="AG22" s="145">
        <f>+G31</f>
        <v>0</v>
      </c>
      <c r="AH22" s="145">
        <f>+I31</f>
        <v>15</v>
      </c>
      <c r="AI22" s="145" t="str">
        <f>+K31</f>
        <v>ind.bike</v>
      </c>
      <c r="AJ22" s="145">
        <f>+M31</f>
        <v>5</v>
      </c>
      <c r="AK22" s="145" t="str">
        <f>+O31</f>
        <v>gym</v>
      </c>
      <c r="AL22" s="145">
        <f>+Q31</f>
        <v>32</v>
      </c>
      <c r="AM22" s="146">
        <f t="shared" si="1"/>
        <v>62</v>
      </c>
    </row>
    <row r="23" spans="2:39" s="137" customFormat="1" ht="12" customHeight="1">
      <c r="B23" s="293">
        <v>7</v>
      </c>
      <c r="C23" s="290">
        <f>+C25-7</f>
        <v>39503</v>
      </c>
      <c r="D23" s="290">
        <f>+D25-7</f>
        <v>39509</v>
      </c>
      <c r="E23" s="195"/>
      <c r="F23" s="196"/>
      <c r="G23" s="197">
        <v>10</v>
      </c>
      <c r="H23" s="196" t="s">
        <v>97</v>
      </c>
      <c r="I23" s="195" t="s">
        <v>83</v>
      </c>
      <c r="J23" s="196"/>
      <c r="K23" s="195"/>
      <c r="L23" s="196"/>
      <c r="M23" s="198" t="s">
        <v>86</v>
      </c>
      <c r="N23" s="199"/>
      <c r="O23" s="195" t="s">
        <v>101</v>
      </c>
      <c r="P23" s="196"/>
      <c r="Q23" s="195" t="s">
        <v>101</v>
      </c>
      <c r="R23" s="200"/>
      <c r="S23" s="201">
        <f t="shared" si="2"/>
        <v>10</v>
      </c>
      <c r="T23" s="228"/>
      <c r="U23" s="242" t="s">
        <v>108</v>
      </c>
      <c r="V23" s="138"/>
      <c r="W23" s="138"/>
      <c r="X23" s="138"/>
      <c r="Y23" s="137">
        <v>2</v>
      </c>
      <c r="Z23" s="140">
        <f>IF(S34&gt;0,MAX(E34,G34,I34,K34,M34,O34,Q34),"")</f>
        <v>30.5</v>
      </c>
      <c r="AA23" s="151">
        <f>MAX(Q33,O33,M33,K33,I33,G33,E33)</f>
        <v>24</v>
      </c>
      <c r="AB23" s="140">
        <f>+S34</f>
        <v>46.5</v>
      </c>
      <c r="AC23" s="152">
        <f>+S33</f>
        <v>52</v>
      </c>
      <c r="AD23" s="150">
        <f>IF(+$D$2&gt;=D33,AB23-AC23,"")</f>
        <v>-5.5</v>
      </c>
      <c r="AF23" s="145">
        <f>+E33</f>
        <v>0</v>
      </c>
      <c r="AG23" s="145">
        <f>+G33</f>
        <v>10</v>
      </c>
      <c r="AH23" s="145">
        <f>+I33</f>
        <v>8</v>
      </c>
      <c r="AI23" s="145" t="str">
        <f>+K33</f>
        <v>ind.bike</v>
      </c>
      <c r="AJ23" s="145">
        <f>+M33</f>
        <v>10</v>
      </c>
      <c r="AK23" s="145" t="str">
        <f>+O33</f>
        <v>gym</v>
      </c>
      <c r="AL23" s="145">
        <f>+Q33</f>
        <v>24</v>
      </c>
      <c r="AM23" s="146">
        <f t="shared" si="1"/>
        <v>52</v>
      </c>
    </row>
    <row r="24" spans="2:39" s="137" customFormat="1" ht="12" customHeight="1" thickBot="1">
      <c r="B24" s="294"/>
      <c r="C24" s="291"/>
      <c r="D24" s="291"/>
      <c r="E24" s="202"/>
      <c r="F24" s="203"/>
      <c r="G24" s="204"/>
      <c r="H24" s="203"/>
      <c r="I24" s="202" t="s">
        <v>83</v>
      </c>
      <c r="J24" s="203"/>
      <c r="K24" s="202">
        <v>13</v>
      </c>
      <c r="L24" s="203" t="s">
        <v>97</v>
      </c>
      <c r="M24" s="211">
        <v>5.3</v>
      </c>
      <c r="N24" s="206" t="s">
        <v>97</v>
      </c>
      <c r="O24" s="204"/>
      <c r="P24" s="203"/>
      <c r="Q24" s="202"/>
      <c r="R24" s="212"/>
      <c r="S24" s="208">
        <f t="shared" si="2"/>
        <v>18.3</v>
      </c>
      <c r="T24" s="227"/>
      <c r="U24" s="244" t="s">
        <v>109</v>
      </c>
      <c r="V24" s="138"/>
      <c r="W24" s="138"/>
      <c r="X24" s="138"/>
      <c r="Y24" s="137">
        <v>1</v>
      </c>
      <c r="Z24" s="140">
        <f>IF(S36&gt;0,MAX(E36,G36,I36,K36,M36,O36,Q36),"")</f>
        <v>42.2</v>
      </c>
      <c r="AA24" s="141">
        <f>MAX(Q35,O35,M35,K35,I35,G35,E35)</f>
        <v>42.2</v>
      </c>
      <c r="AB24" s="140">
        <f>+S36</f>
        <v>60.7</v>
      </c>
      <c r="AC24" s="153">
        <f>+S35</f>
        <v>58.2</v>
      </c>
      <c r="AD24" s="150">
        <f>IF(+$D$2&gt;=D35,AB24-AC24,"")</f>
        <v>2.5</v>
      </c>
      <c r="AF24" s="145">
        <f>+E35</f>
        <v>0</v>
      </c>
      <c r="AG24" s="145">
        <f>+G35</f>
        <v>8</v>
      </c>
      <c r="AH24" s="145">
        <f>+I35</f>
        <v>0</v>
      </c>
      <c r="AI24" s="145">
        <f>+K35</f>
        <v>0</v>
      </c>
      <c r="AJ24" s="145">
        <f>+M35</f>
        <v>0</v>
      </c>
      <c r="AK24" s="145">
        <f>+O35</f>
        <v>8</v>
      </c>
      <c r="AL24" s="145">
        <f>+Q35</f>
        <v>42.2</v>
      </c>
      <c r="AM24" s="146">
        <f t="shared" si="1"/>
        <v>58.2</v>
      </c>
    </row>
    <row r="25" spans="2:39" s="137" customFormat="1" ht="12" customHeight="1">
      <c r="B25" s="293">
        <v>6</v>
      </c>
      <c r="C25" s="290">
        <f>+C27-7</f>
        <v>39510</v>
      </c>
      <c r="D25" s="290">
        <f>+D27-7</f>
        <v>39516</v>
      </c>
      <c r="E25" s="195"/>
      <c r="F25" s="196"/>
      <c r="G25" s="195" t="s">
        <v>101</v>
      </c>
      <c r="H25" s="196"/>
      <c r="I25" s="195" t="s">
        <v>101</v>
      </c>
      <c r="J25" s="196"/>
      <c r="K25" s="195">
        <v>10</v>
      </c>
      <c r="L25" s="196" t="s">
        <v>95</v>
      </c>
      <c r="M25" s="195" t="s">
        <v>101</v>
      </c>
      <c r="N25" s="199"/>
      <c r="O25" s="195" t="s">
        <v>101</v>
      </c>
      <c r="P25" s="196"/>
      <c r="Q25" s="195" t="s">
        <v>86</v>
      </c>
      <c r="R25" s="196"/>
      <c r="S25" s="201">
        <f t="shared" si="2"/>
        <v>10</v>
      </c>
      <c r="T25" s="228"/>
      <c r="U25" s="238"/>
      <c r="V25" s="138"/>
      <c r="W25" s="138"/>
      <c r="X25" s="138"/>
      <c r="Z25" s="154"/>
      <c r="AA25" s="155"/>
      <c r="AB25" s="156">
        <f>SUM(AB13:AB24)</f>
        <v>521.8000000000001</v>
      </c>
      <c r="AC25" s="156">
        <f>SUM(AC13:AC24)</f>
        <v>491.2</v>
      </c>
      <c r="AD25" s="157">
        <f>SUM(AD13:AD24)</f>
        <v>30.600000000000016</v>
      </c>
      <c r="AF25" s="137">
        <f>DCOUNT(dbmo,"mo",AO12:AO13)</f>
        <v>0</v>
      </c>
      <c r="AG25" s="137">
        <f>DCOUNT(dbdi,"di",AP12:AP13)</f>
        <v>0</v>
      </c>
      <c r="AH25" s="137">
        <f>DCOUNT(dbmi,"mi",AQ12:AQ13)</f>
        <v>0</v>
      </c>
      <c r="AI25" s="137">
        <f>DCOUNT(dbdo,"do",AR12:AR13)</f>
        <v>0</v>
      </c>
      <c r="AJ25" s="137">
        <f>DCOUNT(dbfr,"fr",AS12:AS13)</f>
        <v>0</v>
      </c>
      <c r="AK25" s="137">
        <f>DCOUNT(dbsa,"sa",AT12:AT13)</f>
        <v>2</v>
      </c>
      <c r="AL25" s="137">
        <f>DCOUNT(dbso,"so",AU12:AU13)</f>
        <v>5</v>
      </c>
      <c r="AM25" s="137">
        <f>SUM(AF25:AL25)-AM26-AM27</f>
        <v>3</v>
      </c>
    </row>
    <row r="26" spans="2:39" s="137" customFormat="1" ht="12" customHeight="1" thickBot="1">
      <c r="B26" s="294"/>
      <c r="C26" s="291"/>
      <c r="D26" s="291"/>
      <c r="E26" s="202">
        <v>6.5</v>
      </c>
      <c r="F26" s="203" t="s">
        <v>97</v>
      </c>
      <c r="G26" s="204">
        <v>13.5</v>
      </c>
      <c r="H26" s="203" t="s">
        <v>110</v>
      </c>
      <c r="I26" s="202">
        <v>11</v>
      </c>
      <c r="J26" s="203" t="s">
        <v>96</v>
      </c>
      <c r="K26" s="202"/>
      <c r="L26" s="203"/>
      <c r="M26" s="211">
        <v>11.5</v>
      </c>
      <c r="N26" s="206" t="s">
        <v>96</v>
      </c>
      <c r="O26" s="202"/>
      <c r="P26" s="203"/>
      <c r="Q26" s="202"/>
      <c r="R26" s="207"/>
      <c r="S26" s="208">
        <f t="shared" si="2"/>
        <v>42.5</v>
      </c>
      <c r="T26" s="227"/>
      <c r="U26" s="262" t="s">
        <v>111</v>
      </c>
      <c r="V26" s="138"/>
      <c r="W26" s="138"/>
      <c r="X26" s="138"/>
      <c r="Z26" s="154"/>
      <c r="AA26" s="158"/>
      <c r="AB26" s="158"/>
      <c r="AC26" s="158"/>
      <c r="AF26" s="137">
        <f>DCOUNT(dbmo,"mo",AO14:AO15)</f>
        <v>0</v>
      </c>
      <c r="AG26" s="137">
        <f>DCOUNT(dbdi,"di",AP14:AP15)</f>
        <v>0</v>
      </c>
      <c r="AH26" s="137">
        <f>DCOUNT(dbmi,"mi",AQ14:AQ15)</f>
        <v>0</v>
      </c>
      <c r="AI26" s="137">
        <f>DCOUNT(dbdo,"do",AR14:AR15)</f>
        <v>0</v>
      </c>
      <c r="AJ26" s="137">
        <f>DCOUNT(dbfr,"fr",AS14:AS15)</f>
        <v>0</v>
      </c>
      <c r="AK26" s="137">
        <f>DCOUNT(dbsa,"sa",AT14:AT15)</f>
        <v>1</v>
      </c>
      <c r="AL26" s="137">
        <f>DCOUNT(dbso,"so",AU14:AU15)</f>
        <v>3</v>
      </c>
      <c r="AM26" s="137">
        <f>SUM(AF26:AL26)-AM27</f>
        <v>1</v>
      </c>
    </row>
    <row r="27" spans="2:39" s="137" customFormat="1" ht="12" customHeight="1">
      <c r="B27" s="293">
        <v>5</v>
      </c>
      <c r="C27" s="290">
        <f>+C29-7</f>
        <v>39517</v>
      </c>
      <c r="D27" s="290">
        <f>+D29-7</f>
        <v>39523</v>
      </c>
      <c r="E27" s="197">
        <v>7</v>
      </c>
      <c r="F27" s="196" t="s">
        <v>95</v>
      </c>
      <c r="G27" s="195" t="s">
        <v>83</v>
      </c>
      <c r="H27" s="196"/>
      <c r="I27" s="195">
        <v>12</v>
      </c>
      <c r="J27" s="196" t="s">
        <v>97</v>
      </c>
      <c r="K27" s="247">
        <v>7</v>
      </c>
      <c r="L27" s="196" t="s">
        <v>95</v>
      </c>
      <c r="M27" s="198"/>
      <c r="N27" s="199"/>
      <c r="O27" s="195">
        <v>24</v>
      </c>
      <c r="P27" s="200" t="s">
        <v>0</v>
      </c>
      <c r="Q27" s="195"/>
      <c r="R27" s="196"/>
      <c r="S27" s="201">
        <f t="shared" si="2"/>
        <v>50</v>
      </c>
      <c r="T27" s="228"/>
      <c r="U27" s="237" t="s">
        <v>104</v>
      </c>
      <c r="V27" s="138"/>
      <c r="W27" s="138"/>
      <c r="X27" s="138"/>
      <c r="AA27" s="155"/>
      <c r="AB27" s="268"/>
      <c r="AC27" s="268"/>
      <c r="AF27" s="137">
        <f>DCOUNT(dbmo,"mo",AO16:AO17)</f>
        <v>0</v>
      </c>
      <c r="AG27" s="137">
        <f>DCOUNT(dbdi,"di",AP16:AP17)</f>
        <v>0</v>
      </c>
      <c r="AH27" s="137">
        <f>DCOUNT(dbmi,"mi",AQ16:AQ17)</f>
        <v>0</v>
      </c>
      <c r="AI27" s="137">
        <f>DCOUNT(dbdo,"do",AR16:AR17)</f>
        <v>0</v>
      </c>
      <c r="AJ27" s="137">
        <f>DCOUNT(dbfr,"fr",AS16:AS17)</f>
        <v>0</v>
      </c>
      <c r="AK27" s="137">
        <f>DCOUNT(dbsa,"sa",AT16:AT17)</f>
        <v>1</v>
      </c>
      <c r="AL27" s="137">
        <f>DCOUNT(dbso,"so",AU16:AU17)</f>
        <v>2</v>
      </c>
      <c r="AM27" s="137">
        <f>SUM(AF27:AL27)</f>
        <v>3</v>
      </c>
    </row>
    <row r="28" spans="2:38" s="137" customFormat="1" ht="12" customHeight="1" thickBot="1">
      <c r="B28" s="294"/>
      <c r="C28" s="291"/>
      <c r="D28" s="291"/>
      <c r="E28" s="204"/>
      <c r="F28" s="203"/>
      <c r="G28" s="204">
        <v>10.1</v>
      </c>
      <c r="H28" s="203" t="s">
        <v>96</v>
      </c>
      <c r="I28" s="204"/>
      <c r="J28" s="203"/>
      <c r="K28" s="202">
        <v>12</v>
      </c>
      <c r="L28" s="203" t="s">
        <v>97</v>
      </c>
      <c r="M28" s="211"/>
      <c r="N28" s="206"/>
      <c r="O28" s="204">
        <v>22</v>
      </c>
      <c r="P28" s="203" t="s">
        <v>0</v>
      </c>
      <c r="Q28" s="202"/>
      <c r="R28" s="203"/>
      <c r="S28" s="208">
        <f t="shared" si="2"/>
        <v>44.1</v>
      </c>
      <c r="T28" s="227">
        <v>67.7</v>
      </c>
      <c r="U28" s="262" t="s">
        <v>114</v>
      </c>
      <c r="V28" s="138"/>
      <c r="W28" s="138"/>
      <c r="X28" s="138"/>
      <c r="Z28" s="155"/>
      <c r="AA28" s="158"/>
      <c r="AB28" s="268"/>
      <c r="AC28" s="268"/>
      <c r="AF28" s="137" t="s">
        <v>2</v>
      </c>
      <c r="AG28" s="137" t="s">
        <v>63</v>
      </c>
      <c r="AH28" s="137" t="s">
        <v>64</v>
      </c>
      <c r="AI28" s="137" t="s">
        <v>65</v>
      </c>
      <c r="AJ28" s="137" t="s">
        <v>6</v>
      </c>
      <c r="AK28" s="137" t="s">
        <v>7</v>
      </c>
      <c r="AL28" s="137" t="s">
        <v>66</v>
      </c>
    </row>
    <row r="29" spans="2:39" s="137" customFormat="1" ht="12" customHeight="1">
      <c r="B29" s="293">
        <v>4</v>
      </c>
      <c r="C29" s="290">
        <f>+C31-7</f>
        <v>39524</v>
      </c>
      <c r="D29" s="290">
        <f>+D31-7</f>
        <v>39530</v>
      </c>
      <c r="E29" s="195"/>
      <c r="F29" s="196"/>
      <c r="G29" s="195">
        <v>12</v>
      </c>
      <c r="H29" s="196" t="s">
        <v>95</v>
      </c>
      <c r="I29" s="197"/>
      <c r="J29" s="196"/>
      <c r="K29" s="247">
        <v>14</v>
      </c>
      <c r="L29" s="196" t="s">
        <v>97</v>
      </c>
      <c r="M29" s="198"/>
      <c r="N29" s="199"/>
      <c r="O29" s="197">
        <v>30</v>
      </c>
      <c r="P29" s="196" t="s">
        <v>97</v>
      </c>
      <c r="Q29" s="195"/>
      <c r="R29" s="200"/>
      <c r="S29" s="201">
        <f t="shared" si="2"/>
        <v>56</v>
      </c>
      <c r="T29" s="228"/>
      <c r="U29" s="242" t="s">
        <v>113</v>
      </c>
      <c r="V29" s="138"/>
      <c r="W29" s="138"/>
      <c r="X29" s="138"/>
      <c r="Z29" s="155"/>
      <c r="AA29" s="155"/>
      <c r="AB29" s="268"/>
      <c r="AC29" s="268"/>
      <c r="AF29" s="159" t="str">
        <f>+E12</f>
        <v>gym</v>
      </c>
      <c r="AG29" s="159">
        <f>+G12</f>
        <v>0</v>
      </c>
      <c r="AH29" s="159" t="str">
        <f>+I12</f>
        <v>gym</v>
      </c>
      <c r="AI29" s="159">
        <f>+K12</f>
        <v>0</v>
      </c>
      <c r="AJ29" s="159">
        <f>+M12</f>
        <v>0</v>
      </c>
      <c r="AK29" s="159">
        <f>+O12</f>
        <v>0</v>
      </c>
      <c r="AL29" s="159">
        <f>+Q12</f>
        <v>0</v>
      </c>
      <c r="AM29" s="146">
        <f aca="true" t="shared" si="3" ref="AM29:AM40">SUM(AF29:AL29)</f>
        <v>0</v>
      </c>
    </row>
    <row r="30" spans="2:39" s="137" customFormat="1" ht="12" customHeight="1" thickBot="1">
      <c r="B30" s="294"/>
      <c r="C30" s="291"/>
      <c r="D30" s="291"/>
      <c r="E30" s="204"/>
      <c r="F30" s="203"/>
      <c r="G30" s="202">
        <v>7.5</v>
      </c>
      <c r="H30" s="203" t="s">
        <v>97</v>
      </c>
      <c r="I30" s="245">
        <v>12.5</v>
      </c>
      <c r="J30" s="203" t="s">
        <v>96</v>
      </c>
      <c r="K30" s="245"/>
      <c r="L30" s="203"/>
      <c r="M30" s="211">
        <v>17.5</v>
      </c>
      <c r="N30" s="206" t="s">
        <v>96</v>
      </c>
      <c r="O30" s="205">
        <v>13</v>
      </c>
      <c r="P30" s="206" t="s">
        <v>97</v>
      </c>
      <c r="Q30" s="205"/>
      <c r="R30" s="213"/>
      <c r="S30" s="208">
        <f t="shared" si="2"/>
        <v>50.5</v>
      </c>
      <c r="T30" s="227"/>
      <c r="U30" s="244" t="s">
        <v>112</v>
      </c>
      <c r="V30" s="138"/>
      <c r="W30" s="138"/>
      <c r="X30" s="138"/>
      <c r="Z30" s="155"/>
      <c r="AA30" s="158"/>
      <c r="AB30" s="268"/>
      <c r="AC30" s="268"/>
      <c r="AF30" s="159">
        <f>+E14</f>
        <v>0</v>
      </c>
      <c r="AG30" s="159">
        <f>+G14</f>
        <v>0</v>
      </c>
      <c r="AH30" s="159">
        <f>+I14</f>
        <v>0</v>
      </c>
      <c r="AI30" s="159">
        <f>+K14</f>
        <v>8</v>
      </c>
      <c r="AJ30" s="159">
        <f>+M14</f>
        <v>0</v>
      </c>
      <c r="AK30" s="159">
        <f>+O14</f>
        <v>0</v>
      </c>
      <c r="AL30" s="159">
        <f>+Q14</f>
        <v>11</v>
      </c>
      <c r="AM30" s="146">
        <f t="shared" si="3"/>
        <v>19</v>
      </c>
    </row>
    <row r="31" spans="2:39" s="137" customFormat="1" ht="12" customHeight="1">
      <c r="B31" s="293">
        <v>3</v>
      </c>
      <c r="C31" s="290">
        <f>+C33-7</f>
        <v>39531</v>
      </c>
      <c r="D31" s="290">
        <f>+D33-7</f>
        <v>39537</v>
      </c>
      <c r="E31" s="197">
        <v>10</v>
      </c>
      <c r="F31" s="196" t="s">
        <v>95</v>
      </c>
      <c r="G31" s="195"/>
      <c r="H31" s="196"/>
      <c r="I31" s="195">
        <v>15</v>
      </c>
      <c r="J31" s="196" t="s">
        <v>97</v>
      </c>
      <c r="K31" s="247" t="s">
        <v>102</v>
      </c>
      <c r="L31" s="196"/>
      <c r="M31" s="198">
        <v>5</v>
      </c>
      <c r="N31" s="199" t="s">
        <v>97</v>
      </c>
      <c r="O31" s="195" t="s">
        <v>83</v>
      </c>
      <c r="P31" s="196"/>
      <c r="Q31" s="195">
        <v>32</v>
      </c>
      <c r="R31" s="196" t="s">
        <v>97</v>
      </c>
      <c r="S31" s="201">
        <f t="shared" si="2"/>
        <v>62</v>
      </c>
      <c r="T31" s="228"/>
      <c r="U31" s="239"/>
      <c r="V31" s="138"/>
      <c r="W31" s="138"/>
      <c r="X31" s="138"/>
      <c r="Z31" s="155"/>
      <c r="AA31" s="155"/>
      <c r="AB31" s="268"/>
      <c r="AC31" s="268"/>
      <c r="AF31" s="159">
        <f>+E16</f>
        <v>0</v>
      </c>
      <c r="AG31" s="159">
        <f>+G16</f>
        <v>8</v>
      </c>
      <c r="AH31" s="159" t="str">
        <f>+I16</f>
        <v>gym</v>
      </c>
      <c r="AI31" s="159">
        <f>+K16</f>
        <v>10.5</v>
      </c>
      <c r="AJ31" s="159">
        <f>+M16</f>
        <v>0</v>
      </c>
      <c r="AK31" s="159" t="str">
        <f>+O16</f>
        <v>gym</v>
      </c>
      <c r="AL31" s="159">
        <f>+Q16</f>
        <v>15</v>
      </c>
      <c r="AM31" s="146">
        <f t="shared" si="3"/>
        <v>33.5</v>
      </c>
    </row>
    <row r="32" spans="2:39" s="137" customFormat="1" ht="12" customHeight="1" thickBot="1">
      <c r="B32" s="294"/>
      <c r="C32" s="291"/>
      <c r="D32" s="291"/>
      <c r="E32" s="202" t="s">
        <v>83</v>
      </c>
      <c r="F32" s="203"/>
      <c r="G32" s="204">
        <v>9</v>
      </c>
      <c r="H32" s="203" t="s">
        <v>97</v>
      </c>
      <c r="I32" s="202">
        <f>11.5+10.1+8.6</f>
        <v>30.200000000000003</v>
      </c>
      <c r="J32" s="203" t="s">
        <v>97</v>
      </c>
      <c r="K32" s="245"/>
      <c r="L32" s="203"/>
      <c r="M32" s="205">
        <v>10.1</v>
      </c>
      <c r="N32" s="209" t="s">
        <v>95</v>
      </c>
      <c r="O32" s="202">
        <v>9</v>
      </c>
      <c r="P32" s="203" t="s">
        <v>97</v>
      </c>
      <c r="Q32" s="202">
        <v>16.1</v>
      </c>
      <c r="R32" s="207" t="s">
        <v>95</v>
      </c>
      <c r="S32" s="208">
        <f t="shared" si="2"/>
        <v>74.4</v>
      </c>
      <c r="T32" s="227">
        <v>67.7</v>
      </c>
      <c r="U32" s="235"/>
      <c r="V32" s="138"/>
      <c r="W32" s="138"/>
      <c r="X32" s="138"/>
      <c r="Z32" s="155"/>
      <c r="AA32" s="158"/>
      <c r="AB32" s="268"/>
      <c r="AC32" s="268"/>
      <c r="AF32" s="159">
        <f>+E18</f>
        <v>0</v>
      </c>
      <c r="AG32" s="159">
        <f>+G18</f>
        <v>12.2</v>
      </c>
      <c r="AH32" s="159" t="str">
        <f>+I18</f>
        <v>gym</v>
      </c>
      <c r="AI32" s="159">
        <f>+K18</f>
        <v>10.5</v>
      </c>
      <c r="AJ32" s="159" t="str">
        <f>+M18</f>
        <v>bike 43K</v>
      </c>
      <c r="AK32" s="159" t="str">
        <f>+O18</f>
        <v>bike 59K</v>
      </c>
      <c r="AL32" s="159">
        <f>+Q18</f>
        <v>16.5</v>
      </c>
      <c r="AM32" s="146">
        <f t="shared" si="3"/>
        <v>39.2</v>
      </c>
    </row>
    <row r="33" spans="2:39" s="137" customFormat="1" ht="12" customHeight="1">
      <c r="B33" s="293">
        <v>2</v>
      </c>
      <c r="C33" s="290">
        <f>+C35-7</f>
        <v>39538</v>
      </c>
      <c r="D33" s="290">
        <f>+D35-7</f>
        <v>39544</v>
      </c>
      <c r="E33" s="195"/>
      <c r="F33" s="196"/>
      <c r="G33" s="197">
        <v>10</v>
      </c>
      <c r="H33" s="196" t="s">
        <v>97</v>
      </c>
      <c r="I33" s="195">
        <v>8</v>
      </c>
      <c r="J33" s="196" t="s">
        <v>96</v>
      </c>
      <c r="K33" s="247" t="s">
        <v>102</v>
      </c>
      <c r="L33" s="196"/>
      <c r="M33" s="198">
        <v>10</v>
      </c>
      <c r="N33" s="199" t="s">
        <v>95</v>
      </c>
      <c r="O33" s="195" t="s">
        <v>83</v>
      </c>
      <c r="P33" s="196"/>
      <c r="Q33" s="195">
        <v>24</v>
      </c>
      <c r="R33" s="196" t="s">
        <v>97</v>
      </c>
      <c r="S33" s="201">
        <f t="shared" si="2"/>
        <v>52</v>
      </c>
      <c r="T33" s="228"/>
      <c r="U33" s="237"/>
      <c r="V33" s="138"/>
      <c r="W33" s="138"/>
      <c r="X33" s="138"/>
      <c r="Z33" s="155"/>
      <c r="AA33" s="155"/>
      <c r="AB33" s="268"/>
      <c r="AC33" s="268"/>
      <c r="AF33" s="159">
        <f>+E20</f>
        <v>0</v>
      </c>
      <c r="AG33" s="159">
        <f>+G20</f>
        <v>10.1</v>
      </c>
      <c r="AH33" s="159" t="str">
        <f>+I20</f>
        <v>gym</v>
      </c>
      <c r="AI33" s="159" t="str">
        <f>+K20</f>
        <v>ind.bike</v>
      </c>
      <c r="AJ33" s="159">
        <f>+M20</f>
        <v>11.5</v>
      </c>
      <c r="AK33" s="159" t="str">
        <f>+O20</f>
        <v>gym</v>
      </c>
      <c r="AL33" s="159">
        <f>+Q20</f>
        <v>20.5</v>
      </c>
      <c r="AM33" s="146">
        <f t="shared" si="3"/>
        <v>42.1</v>
      </c>
    </row>
    <row r="34" spans="2:39" s="137" customFormat="1" ht="12" customHeight="1" thickBot="1">
      <c r="B34" s="294"/>
      <c r="C34" s="291"/>
      <c r="D34" s="291"/>
      <c r="E34" s="204"/>
      <c r="F34" s="203"/>
      <c r="G34" s="202"/>
      <c r="H34" s="203"/>
      <c r="I34" s="202">
        <v>30.5</v>
      </c>
      <c r="J34" s="203" t="s">
        <v>97</v>
      </c>
      <c r="K34" s="202"/>
      <c r="L34" s="203"/>
      <c r="M34" s="211"/>
      <c r="N34" s="206"/>
      <c r="O34" s="202" t="s">
        <v>83</v>
      </c>
      <c r="P34" s="203"/>
      <c r="Q34" s="205">
        <v>16</v>
      </c>
      <c r="R34" s="206" t="s">
        <v>97</v>
      </c>
      <c r="S34" s="208">
        <f t="shared" si="2"/>
        <v>46.5</v>
      </c>
      <c r="T34" s="227">
        <v>67.5</v>
      </c>
      <c r="U34" s="240"/>
      <c r="V34" s="138"/>
      <c r="W34" s="138"/>
      <c r="X34" s="138"/>
      <c r="Z34" s="155"/>
      <c r="AA34" s="158"/>
      <c r="AB34" s="268"/>
      <c r="AC34" s="268"/>
      <c r="AF34" s="159">
        <f>+E22</f>
        <v>0</v>
      </c>
      <c r="AG34" s="159">
        <f>+G22</f>
        <v>10.2</v>
      </c>
      <c r="AH34" s="159" t="str">
        <f>+I22</f>
        <v>gym</v>
      </c>
      <c r="AI34" s="159">
        <f>+K22</f>
        <v>12.3</v>
      </c>
      <c r="AJ34" s="159">
        <f>+M22</f>
        <v>5</v>
      </c>
      <c r="AK34" s="159" t="str">
        <f>+O22</f>
        <v>bike 69K</v>
      </c>
      <c r="AL34" s="159">
        <f>+Q22</f>
        <v>23.5</v>
      </c>
      <c r="AM34" s="146">
        <f t="shared" si="3"/>
        <v>51</v>
      </c>
    </row>
    <row r="35" spans="2:39" s="137" customFormat="1" ht="12" customHeight="1">
      <c r="B35" s="293">
        <v>1</v>
      </c>
      <c r="C35" s="290">
        <f>+D35-6</f>
        <v>39545</v>
      </c>
      <c r="D35" s="290">
        <f>+Z2</f>
        <v>39551</v>
      </c>
      <c r="E35" s="197"/>
      <c r="F35" s="196"/>
      <c r="G35" s="197">
        <v>8</v>
      </c>
      <c r="H35" s="196" t="s">
        <v>97</v>
      </c>
      <c r="I35" s="230"/>
      <c r="J35" s="196"/>
      <c r="K35" s="266"/>
      <c r="L35" s="267"/>
      <c r="M35" s="195"/>
      <c r="N35" s="196"/>
      <c r="O35" s="197">
        <v>8</v>
      </c>
      <c r="P35" s="196" t="s">
        <v>95</v>
      </c>
      <c r="Q35" s="195">
        <v>42.2</v>
      </c>
      <c r="R35" s="200" t="s">
        <v>0</v>
      </c>
      <c r="S35" s="201">
        <f t="shared" si="2"/>
        <v>58.2</v>
      </c>
      <c r="T35" s="228"/>
      <c r="U35" s="241" t="s">
        <v>56</v>
      </c>
      <c r="V35" s="138"/>
      <c r="W35" s="138"/>
      <c r="X35" s="138"/>
      <c r="Z35" s="155"/>
      <c r="AA35" s="155"/>
      <c r="AB35" s="268"/>
      <c r="AC35" s="268"/>
      <c r="AF35" s="159">
        <f>+E24</f>
        <v>0</v>
      </c>
      <c r="AG35" s="159">
        <f>+G24</f>
        <v>0</v>
      </c>
      <c r="AH35" s="159" t="str">
        <f>+I24</f>
        <v>gym</v>
      </c>
      <c r="AI35" s="159">
        <f>+K24</f>
        <v>13</v>
      </c>
      <c r="AJ35" s="159">
        <f>+M24</f>
        <v>5.3</v>
      </c>
      <c r="AK35" s="159">
        <f>+O24</f>
        <v>0</v>
      </c>
      <c r="AL35" s="159">
        <f>+Q24</f>
        <v>0</v>
      </c>
      <c r="AM35" s="146">
        <f t="shared" si="3"/>
        <v>18.3</v>
      </c>
    </row>
    <row r="36" spans="2:39" s="137" customFormat="1" ht="12" customHeight="1" thickBot="1">
      <c r="B36" s="295"/>
      <c r="C36" s="292"/>
      <c r="D36" s="292"/>
      <c r="E36" s="211"/>
      <c r="F36" s="206"/>
      <c r="G36" s="211">
        <v>12</v>
      </c>
      <c r="H36" s="206" t="s">
        <v>97</v>
      </c>
      <c r="I36" s="211"/>
      <c r="J36" s="206"/>
      <c r="K36" s="211"/>
      <c r="L36" s="206"/>
      <c r="M36" s="211"/>
      <c r="N36" s="206"/>
      <c r="O36" s="205">
        <v>6.5</v>
      </c>
      <c r="P36" s="206" t="s">
        <v>95</v>
      </c>
      <c r="Q36" s="205">
        <v>42.2</v>
      </c>
      <c r="R36" s="213" t="s">
        <v>0</v>
      </c>
      <c r="S36" s="214">
        <f t="shared" si="2"/>
        <v>60.7</v>
      </c>
      <c r="T36" s="232"/>
      <c r="U36" s="315">
        <v>0.15243055555555554</v>
      </c>
      <c r="V36" s="138"/>
      <c r="W36" s="138"/>
      <c r="X36" s="138"/>
      <c r="Z36" s="155"/>
      <c r="AA36" s="158"/>
      <c r="AB36" s="268"/>
      <c r="AC36" s="268"/>
      <c r="AF36" s="159">
        <f>+E26</f>
        <v>6.5</v>
      </c>
      <c r="AG36" s="159">
        <f>+G26</f>
        <v>13.5</v>
      </c>
      <c r="AH36" s="159">
        <f>+I26</f>
        <v>11</v>
      </c>
      <c r="AI36" s="159">
        <f>+K26</f>
        <v>0</v>
      </c>
      <c r="AJ36" s="159">
        <f>+M26</f>
        <v>11.5</v>
      </c>
      <c r="AK36" s="159">
        <f>+O26</f>
        <v>0</v>
      </c>
      <c r="AL36" s="159">
        <f>+Q26</f>
        <v>0</v>
      </c>
      <c r="AM36" s="146">
        <f t="shared" si="3"/>
        <v>42.5</v>
      </c>
    </row>
    <row r="37" spans="5:39" ht="15" customHeight="1">
      <c r="E37" s="215"/>
      <c r="F37" s="216"/>
      <c r="G37" s="215"/>
      <c r="H37" s="216"/>
      <c r="I37" s="215"/>
      <c r="J37" s="216"/>
      <c r="K37" s="215"/>
      <c r="L37" s="216"/>
      <c r="M37" s="215"/>
      <c r="N37" s="216"/>
      <c r="O37" s="215"/>
      <c r="P37" s="216"/>
      <c r="Q37" s="216"/>
      <c r="R37" s="216"/>
      <c r="S37" s="217">
        <f>+AC25</f>
        <v>491.2</v>
      </c>
      <c r="T37" s="311" t="s">
        <v>84</v>
      </c>
      <c r="U37" s="312"/>
      <c r="AF37" s="159">
        <f>+E28</f>
        <v>0</v>
      </c>
      <c r="AG37" s="159">
        <f>+G28</f>
        <v>10.1</v>
      </c>
      <c r="AH37" s="159">
        <f>+I28</f>
        <v>0</v>
      </c>
      <c r="AI37" s="159">
        <f>+K28</f>
        <v>12</v>
      </c>
      <c r="AJ37" s="159">
        <f>+M28</f>
        <v>0</v>
      </c>
      <c r="AK37" s="159">
        <f>+O28</f>
        <v>22</v>
      </c>
      <c r="AL37" s="159">
        <f>+Q28</f>
        <v>0</v>
      </c>
      <c r="AM37" s="146">
        <f t="shared" si="3"/>
        <v>44.1</v>
      </c>
    </row>
    <row r="38" spans="5:39" ht="15" customHeight="1">
      <c r="E38" s="215"/>
      <c r="F38" s="216"/>
      <c r="G38" s="215"/>
      <c r="H38" s="215"/>
      <c r="I38" s="218"/>
      <c r="J38" s="215"/>
      <c r="K38" s="215"/>
      <c r="L38" s="216"/>
      <c r="M38" s="215"/>
      <c r="N38" s="216"/>
      <c r="O38" s="215"/>
      <c r="P38" s="216"/>
      <c r="Q38" s="216"/>
      <c r="R38" s="216"/>
      <c r="S38" s="219">
        <f>+S37/12</f>
        <v>40.93333333333333</v>
      </c>
      <c r="T38" s="308" t="s">
        <v>85</v>
      </c>
      <c r="U38" s="309"/>
      <c r="AF38" s="159">
        <f>+E30</f>
        <v>0</v>
      </c>
      <c r="AG38" s="159">
        <f>+G30</f>
        <v>7.5</v>
      </c>
      <c r="AH38" s="159">
        <f>+I30</f>
        <v>12.5</v>
      </c>
      <c r="AI38" s="159">
        <f>+K30</f>
        <v>0</v>
      </c>
      <c r="AJ38" s="159">
        <f>+M30</f>
        <v>17.5</v>
      </c>
      <c r="AK38" s="159">
        <f>+O30</f>
        <v>13</v>
      </c>
      <c r="AL38" s="159">
        <f>+Q30</f>
        <v>0</v>
      </c>
      <c r="AM38" s="146">
        <f t="shared" si="3"/>
        <v>50.5</v>
      </c>
    </row>
    <row r="39" spans="5:39" ht="15" customHeight="1">
      <c r="E39" s="215"/>
      <c r="F39" s="216"/>
      <c r="G39" s="215"/>
      <c r="H39" s="216"/>
      <c r="I39" s="215"/>
      <c r="J39" s="216"/>
      <c r="K39" s="215"/>
      <c r="L39" s="216"/>
      <c r="M39" s="215"/>
      <c r="N39" s="216"/>
      <c r="O39" s="215"/>
      <c r="P39" s="216"/>
      <c r="Q39" s="216"/>
      <c r="R39" s="216"/>
      <c r="S39" s="220">
        <f>+AD25</f>
        <v>30.600000000000016</v>
      </c>
      <c r="T39" s="308" t="s">
        <v>27</v>
      </c>
      <c r="U39" s="309"/>
      <c r="AF39" s="159" t="str">
        <f>+E32</f>
        <v>gym</v>
      </c>
      <c r="AG39" s="159">
        <f>+G32</f>
        <v>9</v>
      </c>
      <c r="AH39" s="159">
        <f>+I32</f>
        <v>30.200000000000003</v>
      </c>
      <c r="AI39" s="159">
        <f>+K32</f>
        <v>0</v>
      </c>
      <c r="AJ39" s="159">
        <f>+M32</f>
        <v>10.1</v>
      </c>
      <c r="AK39" s="159">
        <f>+O32</f>
        <v>9</v>
      </c>
      <c r="AL39" s="159">
        <f>+Q32</f>
        <v>16.1</v>
      </c>
      <c r="AM39" s="146">
        <f t="shared" si="3"/>
        <v>74.4</v>
      </c>
    </row>
    <row r="40" spans="5:39" ht="15" customHeight="1">
      <c r="E40" s="215"/>
      <c r="F40" s="216"/>
      <c r="G40" s="215"/>
      <c r="H40" s="216"/>
      <c r="I40" s="215"/>
      <c r="J40" s="216"/>
      <c r="K40" s="215"/>
      <c r="L40" s="216"/>
      <c r="M40" s="215"/>
      <c r="N40" s="216"/>
      <c r="O40" s="215"/>
      <c r="P40" s="216"/>
      <c r="Q40" s="216"/>
      <c r="R40" s="216"/>
      <c r="S40" s="221">
        <f>+S38+(S39/12)</f>
        <v>43.483333333333334</v>
      </c>
      <c r="T40" s="308" t="s">
        <v>40</v>
      </c>
      <c r="U40" s="309"/>
      <c r="AF40" s="159">
        <f>+E34</f>
        <v>0</v>
      </c>
      <c r="AG40" s="159">
        <f>+G34</f>
        <v>0</v>
      </c>
      <c r="AH40" s="159">
        <f>+I34</f>
        <v>30.5</v>
      </c>
      <c r="AI40" s="159">
        <f>+K34</f>
        <v>0</v>
      </c>
      <c r="AJ40" s="159">
        <f>+M34</f>
        <v>0</v>
      </c>
      <c r="AK40" s="159" t="str">
        <f>+O34</f>
        <v>gym</v>
      </c>
      <c r="AL40" s="159">
        <f>+Q34</f>
        <v>16</v>
      </c>
      <c r="AM40" s="146">
        <f t="shared" si="3"/>
        <v>46.5</v>
      </c>
    </row>
    <row r="41" spans="17:39" ht="12.75">
      <c r="Q41" s="160"/>
      <c r="AF41" s="159">
        <f>+E36</f>
        <v>0</v>
      </c>
      <c r="AG41" s="159">
        <f>+G36</f>
        <v>12</v>
      </c>
      <c r="AH41" s="159">
        <f>+I36</f>
        <v>0</v>
      </c>
      <c r="AI41" s="159">
        <f>+K36</f>
        <v>0</v>
      </c>
      <c r="AJ41" s="159">
        <f>+M36</f>
        <v>0</v>
      </c>
      <c r="AK41" s="159">
        <f>+O36</f>
        <v>6.5</v>
      </c>
      <c r="AL41" s="159">
        <f>+Q36</f>
        <v>42.2</v>
      </c>
      <c r="AM41" s="146">
        <f>SUM(AF41:AL41)</f>
        <v>60.7</v>
      </c>
    </row>
    <row r="42" spans="15:39" ht="12.75" customHeight="1">
      <c r="O42" s="161"/>
      <c r="Q42" s="162"/>
      <c r="AF42" s="137">
        <f>DCOUNT(dbmoist,"mo",AO12:AO13)</f>
        <v>0</v>
      </c>
      <c r="AG42" s="137">
        <f>DCOUNT(dbdiist,"di",AP12:AP13)</f>
        <v>0</v>
      </c>
      <c r="AH42" s="137">
        <f>DCOUNT(dbmiist,"mi",AQ12:AQ13)</f>
        <v>2</v>
      </c>
      <c r="AI42" s="137">
        <f>DCOUNT(dbdoist,"do",AR12:AR13)</f>
        <v>0</v>
      </c>
      <c r="AJ42" s="137">
        <f>DCOUNT(dbfrist,"fr",AS12:AS13)</f>
        <v>0</v>
      </c>
      <c r="AK42" s="137">
        <f>DCOUNT(dbsaist,"sa",AT12:AT13)</f>
        <v>1</v>
      </c>
      <c r="AL42" s="137">
        <f>DCOUNT(dbsoist,"so",AU12:AU13)</f>
        <v>3</v>
      </c>
      <c r="AM42" s="137">
        <f>SUM(AF42:AL42)-AM43-AM44</f>
        <v>3</v>
      </c>
    </row>
    <row r="43" spans="19:39" ht="12.75" customHeight="1">
      <c r="S43" s="163" t="s">
        <v>73</v>
      </c>
      <c r="AF43" s="137">
        <f>DCOUNT(dbmoist,"mo",AO14:AO15)</f>
        <v>0</v>
      </c>
      <c r="AG43" s="137">
        <f>DCOUNT(dbdiist,"di",AP14:AP15)</f>
        <v>0</v>
      </c>
      <c r="AH43" s="137">
        <f>DCOUNT(dbmiist,"mi",AQ14:AQ15)</f>
        <v>2</v>
      </c>
      <c r="AI43" s="137">
        <f>DCOUNT(dbdoist,"do",AR14:AR15)</f>
        <v>0</v>
      </c>
      <c r="AJ43" s="137">
        <f>DCOUNT(dbfrist,"fr",AS14:AS15)</f>
        <v>0</v>
      </c>
      <c r="AK43" s="137">
        <f>DCOUNT(dbsaist,"sa",AT14:AT15)</f>
        <v>0</v>
      </c>
      <c r="AL43" s="137">
        <f>DCOUNT(dbsoist,"so",AU14:AU15)</f>
        <v>1</v>
      </c>
      <c r="AM43" s="137">
        <f>SUM(AF43:AL43)-AM44</f>
        <v>0</v>
      </c>
    </row>
    <row r="44" spans="17:39" ht="12.75" customHeight="1">
      <c r="Q44" s="164"/>
      <c r="S44" s="123" t="s">
        <v>71</v>
      </c>
      <c r="AF44" s="137">
        <f>DCOUNT(dbmoist,"mo",AO16:AO17)</f>
        <v>0</v>
      </c>
      <c r="AG44" s="137">
        <f>DCOUNT(dbdiist,"di",AP16:AP17)</f>
        <v>0</v>
      </c>
      <c r="AH44" s="137">
        <f>DCOUNT(dbmiist,"mi",AQ16:AQ17)</f>
        <v>2</v>
      </c>
      <c r="AI44" s="137">
        <f>DCOUNT(dbdoist,"do",AR16:AR17)</f>
        <v>0</v>
      </c>
      <c r="AJ44" s="137">
        <f>DCOUNT(dbfrist,"fr",AS16:AS17)</f>
        <v>0</v>
      </c>
      <c r="AK44" s="137">
        <f>DCOUNT(dbsaist,"sa",AT16:AT17)</f>
        <v>0</v>
      </c>
      <c r="AL44" s="137">
        <f>DCOUNT(dbsoist,"so",AU16:AU17)</f>
        <v>1</v>
      </c>
      <c r="AM44" s="137">
        <f>SUM(AF44:AL44)</f>
        <v>3</v>
      </c>
    </row>
    <row r="45" spans="17:20" ht="12.75" customHeight="1">
      <c r="Q45" s="165"/>
      <c r="T45" s="123" t="s">
        <v>72</v>
      </c>
    </row>
    <row r="46" spans="19:21" ht="12.75" customHeight="1">
      <c r="S46" s="166">
        <f>+AM25</f>
        <v>3</v>
      </c>
      <c r="T46" s="167">
        <f>+AM42</f>
        <v>3</v>
      </c>
      <c r="U46" s="123" t="s">
        <v>68</v>
      </c>
    </row>
    <row r="47" spans="19:21" ht="12.75" customHeight="1">
      <c r="S47" s="166">
        <f>+AM26</f>
        <v>1</v>
      </c>
      <c r="T47" s="167">
        <f>+AM43</f>
        <v>0</v>
      </c>
      <c r="U47" s="123" t="s">
        <v>69</v>
      </c>
    </row>
    <row r="48" spans="19:21" ht="12.75" customHeight="1" thickBot="1">
      <c r="S48" s="168">
        <f>+AM27</f>
        <v>3</v>
      </c>
      <c r="T48" s="169">
        <f>+AM44</f>
        <v>3</v>
      </c>
      <c r="U48" s="123" t="s">
        <v>70</v>
      </c>
    </row>
    <row r="49" spans="19:21" ht="12.75" customHeight="1">
      <c r="S49" s="170">
        <f>SUM(S46:S48)</f>
        <v>7</v>
      </c>
      <c r="T49" s="171">
        <f>SUM(T46:T48)</f>
        <v>6</v>
      </c>
      <c r="U49" s="135"/>
    </row>
    <row r="50" ht="12.75" customHeight="1"/>
    <row r="51" spans="22:24" ht="12.75">
      <c r="V51" s="172"/>
      <c r="W51" s="172"/>
      <c r="X51" s="172"/>
    </row>
    <row r="52" spans="22:24" ht="12.75">
      <c r="V52" s="172"/>
      <c r="W52" s="172"/>
      <c r="X52" s="172"/>
    </row>
    <row r="53" spans="2:24" ht="12.75" customHeight="1">
      <c r="B53" s="173"/>
      <c r="F53" s="123"/>
      <c r="H53" s="123"/>
      <c r="J53" s="123"/>
      <c r="L53" s="123"/>
      <c r="N53" s="135"/>
      <c r="O53" s="135"/>
      <c r="P53" s="174"/>
      <c r="Q53" s="174"/>
      <c r="R53" s="135"/>
      <c r="V53" s="135"/>
      <c r="W53" s="135"/>
      <c r="X53" s="135"/>
    </row>
    <row r="54" spans="2:24" ht="12.75" customHeight="1">
      <c r="B54" s="173"/>
      <c r="F54" s="123"/>
      <c r="H54" s="123"/>
      <c r="J54" s="123"/>
      <c r="L54" s="123"/>
      <c r="N54" s="135"/>
      <c r="O54" s="135"/>
      <c r="P54" s="174"/>
      <c r="Q54" s="174"/>
      <c r="R54" s="135"/>
      <c r="V54" s="135"/>
      <c r="W54" s="135"/>
      <c r="X54" s="135"/>
    </row>
    <row r="55" spans="2:24" ht="12.75" customHeight="1">
      <c r="B55" s="173"/>
      <c r="F55" s="123"/>
      <c r="H55" s="123"/>
      <c r="J55" s="123"/>
      <c r="L55" s="123"/>
      <c r="N55" s="135"/>
      <c r="O55" s="135"/>
      <c r="P55" s="174"/>
      <c r="Q55" s="174"/>
      <c r="R55" s="135"/>
      <c r="V55" s="135"/>
      <c r="W55" s="135"/>
      <c r="X55" s="135"/>
    </row>
    <row r="56" spans="2:24" ht="12.75" customHeight="1">
      <c r="B56" s="173"/>
      <c r="F56" s="123"/>
      <c r="H56" s="123"/>
      <c r="J56" s="123"/>
      <c r="L56" s="123"/>
      <c r="N56" s="135"/>
      <c r="O56" s="135"/>
      <c r="P56" s="174"/>
      <c r="Q56" s="174"/>
      <c r="R56" s="135"/>
      <c r="V56" s="135"/>
      <c r="W56" s="135"/>
      <c r="X56" s="135"/>
    </row>
    <row r="57" spans="2:24" ht="12.75" customHeight="1">
      <c r="B57" s="173"/>
      <c r="F57" s="123"/>
      <c r="H57" s="123"/>
      <c r="J57" s="123"/>
      <c r="L57" s="123"/>
      <c r="N57" s="135"/>
      <c r="O57" s="135"/>
      <c r="P57" s="174"/>
      <c r="Q57" s="174"/>
      <c r="R57" s="135"/>
      <c r="V57" s="135"/>
      <c r="W57" s="135"/>
      <c r="X57" s="135"/>
    </row>
    <row r="58" spans="2:24" ht="12.75" customHeight="1">
      <c r="B58" s="173"/>
      <c r="F58" s="123"/>
      <c r="H58" s="123"/>
      <c r="J58" s="123"/>
      <c r="L58" s="123"/>
      <c r="N58" s="135"/>
      <c r="O58" s="135"/>
      <c r="P58" s="174"/>
      <c r="Q58" s="174"/>
      <c r="R58" s="135"/>
      <c r="S58" s="135"/>
      <c r="U58" s="135"/>
      <c r="V58" s="135"/>
      <c r="W58" s="135"/>
      <c r="X58" s="135"/>
    </row>
    <row r="59" spans="2:19" ht="15" customHeight="1">
      <c r="B59" s="175"/>
      <c r="C59" s="176" t="s">
        <v>58</v>
      </c>
      <c r="D59" s="177"/>
      <c r="E59" s="177"/>
      <c r="F59" s="177"/>
      <c r="G59" s="178"/>
      <c r="H59" s="123"/>
      <c r="I59" s="176" t="s">
        <v>13</v>
      </c>
      <c r="J59" s="179"/>
      <c r="K59" s="180">
        <v>159</v>
      </c>
      <c r="L59" s="177"/>
      <c r="M59" s="179"/>
      <c r="N59" s="179"/>
      <c r="O59" s="177"/>
      <c r="P59" s="284"/>
      <c r="Q59" s="285"/>
      <c r="R59" s="135"/>
      <c r="S59" s="135"/>
    </row>
    <row r="60" spans="2:19" ht="15" customHeight="1">
      <c r="B60" s="175"/>
      <c r="C60" s="181" t="s">
        <v>38</v>
      </c>
      <c r="D60" s="175"/>
      <c r="E60" s="264">
        <v>12</v>
      </c>
      <c r="F60" s="264"/>
      <c r="G60" s="265"/>
      <c r="H60" s="123"/>
      <c r="I60" s="181"/>
      <c r="J60" s="123"/>
      <c r="K60" s="182" t="s">
        <v>9</v>
      </c>
      <c r="L60" s="175"/>
      <c r="M60" s="183" t="s">
        <v>10</v>
      </c>
      <c r="N60" s="288" t="s">
        <v>9</v>
      </c>
      <c r="O60" s="289"/>
      <c r="P60" s="286" t="s">
        <v>10</v>
      </c>
      <c r="Q60" s="287"/>
      <c r="R60" s="135"/>
      <c r="S60" s="135"/>
    </row>
    <row r="61" spans="2:19" ht="15" customHeight="1">
      <c r="B61" s="175"/>
      <c r="C61" s="185" t="s">
        <v>28</v>
      </c>
      <c r="D61" s="175"/>
      <c r="E61" s="283">
        <f>60/E60/24/60</f>
        <v>0.0034722222222222225</v>
      </c>
      <c r="F61" s="283"/>
      <c r="G61" s="263"/>
      <c r="H61" s="123"/>
      <c r="I61" s="233" t="s">
        <v>12</v>
      </c>
      <c r="J61" s="123"/>
      <c r="K61" s="186"/>
      <c r="L61" s="175"/>
      <c r="M61" s="187">
        <f aca="true" t="shared" si="4" ref="M61:M68">+P61*$K$59</f>
        <v>103.35000000000001</v>
      </c>
      <c r="N61" s="271"/>
      <c r="O61" s="272"/>
      <c r="P61" s="273">
        <v>0.65</v>
      </c>
      <c r="Q61" s="273"/>
      <c r="R61" s="135"/>
      <c r="S61" s="135"/>
    </row>
    <row r="62" spans="2:19" ht="15" customHeight="1">
      <c r="B62" s="175"/>
      <c r="C62" s="185" t="s">
        <v>30</v>
      </c>
      <c r="D62" s="175"/>
      <c r="E62" s="283">
        <f>+E61*1.609</f>
        <v>0.005586805555555556</v>
      </c>
      <c r="F62" s="283"/>
      <c r="G62" s="263"/>
      <c r="H62" s="123"/>
      <c r="I62" s="233" t="s">
        <v>14</v>
      </c>
      <c r="J62" s="123"/>
      <c r="K62" s="186">
        <f aca="true" t="shared" si="5" ref="K62:K68">+N62*$K$59</f>
        <v>103.35000000000001</v>
      </c>
      <c r="L62" s="175"/>
      <c r="M62" s="187">
        <f t="shared" si="4"/>
        <v>111.3</v>
      </c>
      <c r="N62" s="271">
        <f>+P61</f>
        <v>0.65</v>
      </c>
      <c r="O62" s="272"/>
      <c r="P62" s="273">
        <v>0.7</v>
      </c>
      <c r="Q62" s="273"/>
      <c r="R62" s="135"/>
      <c r="S62" s="135"/>
    </row>
    <row r="63" spans="2:18" ht="15" customHeight="1">
      <c r="B63" s="175"/>
      <c r="C63" s="188" t="s">
        <v>29</v>
      </c>
      <c r="D63" s="184"/>
      <c r="E63" s="277">
        <v>0.22708333333333333</v>
      </c>
      <c r="F63" s="277"/>
      <c r="G63" s="278"/>
      <c r="H63" s="123"/>
      <c r="I63" s="233" t="s">
        <v>32</v>
      </c>
      <c r="J63" s="123"/>
      <c r="K63" s="186">
        <f t="shared" si="5"/>
        <v>111.3</v>
      </c>
      <c r="L63" s="175"/>
      <c r="M63" s="187">
        <f t="shared" si="4"/>
        <v>119.25</v>
      </c>
      <c r="N63" s="271">
        <f aca="true" t="shared" si="6" ref="N63:N68">+P62</f>
        <v>0.7</v>
      </c>
      <c r="O63" s="272"/>
      <c r="P63" s="273">
        <v>0.75</v>
      </c>
      <c r="Q63" s="273"/>
      <c r="R63" s="123"/>
    </row>
    <row r="64" spans="2:18" ht="15" customHeight="1">
      <c r="B64" s="175"/>
      <c r="C64" s="185" t="s">
        <v>30</v>
      </c>
      <c r="D64" s="175"/>
      <c r="E64" s="279">
        <f>+E63*1.609</f>
        <v>0.36537708333333335</v>
      </c>
      <c r="F64" s="279"/>
      <c r="G64" s="280"/>
      <c r="H64" s="123"/>
      <c r="I64" s="233" t="s">
        <v>33</v>
      </c>
      <c r="J64" s="123"/>
      <c r="K64" s="186">
        <f t="shared" si="5"/>
        <v>119.25</v>
      </c>
      <c r="L64" s="175"/>
      <c r="M64" s="187">
        <f t="shared" si="4"/>
        <v>127.2</v>
      </c>
      <c r="N64" s="271">
        <f t="shared" si="6"/>
        <v>0.75</v>
      </c>
      <c r="O64" s="272"/>
      <c r="P64" s="273">
        <v>0.8</v>
      </c>
      <c r="Q64" s="273"/>
      <c r="R64" s="123"/>
    </row>
    <row r="65" spans="2:18" ht="15" customHeight="1">
      <c r="B65" s="175"/>
      <c r="C65" s="185" t="s">
        <v>39</v>
      </c>
      <c r="D65" s="175"/>
      <c r="E65" s="281">
        <f>60/E63/24</f>
        <v>11.009174311926605</v>
      </c>
      <c r="F65" s="281"/>
      <c r="G65" s="282"/>
      <c r="H65" s="123"/>
      <c r="I65" s="233" t="s">
        <v>34</v>
      </c>
      <c r="J65" s="123"/>
      <c r="K65" s="186">
        <f t="shared" si="5"/>
        <v>127.2</v>
      </c>
      <c r="L65" s="175"/>
      <c r="M65" s="187">
        <f t="shared" si="4"/>
        <v>135.15</v>
      </c>
      <c r="N65" s="271">
        <f t="shared" si="6"/>
        <v>0.8</v>
      </c>
      <c r="O65" s="272"/>
      <c r="P65" s="273">
        <v>0.85</v>
      </c>
      <c r="Q65" s="273"/>
      <c r="R65" s="123"/>
    </row>
    <row r="66" spans="3:17" ht="15" customHeight="1">
      <c r="C66" s="185" t="s">
        <v>35</v>
      </c>
      <c r="D66" s="135"/>
      <c r="E66" s="279">
        <f>+E63*0.4</f>
        <v>0.09083333333333334</v>
      </c>
      <c r="F66" s="279">
        <f>+E63*0.4</f>
        <v>0.09083333333333334</v>
      </c>
      <c r="G66" s="280"/>
      <c r="I66" s="233" t="s">
        <v>15</v>
      </c>
      <c r="J66" s="123"/>
      <c r="K66" s="186">
        <f t="shared" si="5"/>
        <v>135.15</v>
      </c>
      <c r="L66" s="175"/>
      <c r="M66" s="187">
        <f t="shared" si="4"/>
        <v>143.1</v>
      </c>
      <c r="N66" s="271">
        <f t="shared" si="6"/>
        <v>0.85</v>
      </c>
      <c r="O66" s="272"/>
      <c r="P66" s="273">
        <v>0.9</v>
      </c>
      <c r="Q66" s="273"/>
    </row>
    <row r="67" spans="3:17" ht="15" customHeight="1">
      <c r="C67" s="185" t="s">
        <v>37</v>
      </c>
      <c r="D67" s="135"/>
      <c r="E67" s="279">
        <f>+E63*0.6</f>
        <v>0.13624999999999998</v>
      </c>
      <c r="F67" s="279"/>
      <c r="G67" s="280"/>
      <c r="I67" s="233" t="s">
        <v>16</v>
      </c>
      <c r="J67" s="123"/>
      <c r="K67" s="186">
        <f t="shared" si="5"/>
        <v>143.1</v>
      </c>
      <c r="L67" s="175"/>
      <c r="M67" s="187">
        <f t="shared" si="4"/>
        <v>151.04999999999998</v>
      </c>
      <c r="N67" s="271">
        <f t="shared" si="6"/>
        <v>0.9</v>
      </c>
      <c r="O67" s="272"/>
      <c r="P67" s="273">
        <v>0.95</v>
      </c>
      <c r="Q67" s="273"/>
    </row>
    <row r="68" spans="3:17" ht="15" customHeight="1">
      <c r="C68" s="189" t="s">
        <v>36</v>
      </c>
      <c r="D68" s="190"/>
      <c r="E68" s="275">
        <f>+E63*0.8</f>
        <v>0.18166666666666667</v>
      </c>
      <c r="F68" s="275"/>
      <c r="G68" s="276"/>
      <c r="I68" s="234" t="s">
        <v>17</v>
      </c>
      <c r="J68" s="191"/>
      <c r="K68" s="192">
        <f t="shared" si="5"/>
        <v>151.04999999999998</v>
      </c>
      <c r="L68" s="193"/>
      <c r="M68" s="194">
        <f t="shared" si="4"/>
        <v>155.025</v>
      </c>
      <c r="N68" s="269">
        <f t="shared" si="6"/>
        <v>0.95</v>
      </c>
      <c r="O68" s="270"/>
      <c r="P68" s="274">
        <v>0.975</v>
      </c>
      <c r="Q68" s="274"/>
    </row>
    <row r="69" spans="9:16" ht="15" customHeight="1">
      <c r="I69" s="125"/>
      <c r="J69" s="123"/>
      <c r="L69" s="135"/>
      <c r="M69" s="135"/>
      <c r="N69" s="123"/>
      <c r="P69" s="123"/>
    </row>
  </sheetData>
  <mergeCells count="94">
    <mergeCell ref="T40:U40"/>
    <mergeCell ref="B4:T4"/>
    <mergeCell ref="T37:U37"/>
    <mergeCell ref="T38:U38"/>
    <mergeCell ref="T39:U39"/>
    <mergeCell ref="C7:C8"/>
    <mergeCell ref="D7:D8"/>
    <mergeCell ref="D13:D14"/>
    <mergeCell ref="B13:B14"/>
    <mergeCell ref="C13:C14"/>
    <mergeCell ref="D35:D36"/>
    <mergeCell ref="D23:D24"/>
    <mergeCell ref="D31:D32"/>
    <mergeCell ref="B15:B16"/>
    <mergeCell ref="D15:D16"/>
    <mergeCell ref="C15:C16"/>
    <mergeCell ref="D19:D20"/>
    <mergeCell ref="C17:C18"/>
    <mergeCell ref="C19:C20"/>
    <mergeCell ref="C21:C22"/>
    <mergeCell ref="D2:E2"/>
    <mergeCell ref="B6:D6"/>
    <mergeCell ref="B11:B12"/>
    <mergeCell ref="C11:C12"/>
    <mergeCell ref="D11:D12"/>
    <mergeCell ref="B9:B10"/>
    <mergeCell ref="C9:C10"/>
    <mergeCell ref="D9:D10"/>
    <mergeCell ref="B7:B8"/>
    <mergeCell ref="E9:F9"/>
    <mergeCell ref="K9:L9"/>
    <mergeCell ref="O11:P11"/>
    <mergeCell ref="B23:B24"/>
    <mergeCell ref="B25:B26"/>
    <mergeCell ref="C23:C24"/>
    <mergeCell ref="D21:D22"/>
    <mergeCell ref="D25:D26"/>
    <mergeCell ref="B17:B18"/>
    <mergeCell ref="B19:B20"/>
    <mergeCell ref="D17:D18"/>
    <mergeCell ref="B21:B22"/>
    <mergeCell ref="C25:C26"/>
    <mergeCell ref="C27:C28"/>
    <mergeCell ref="B29:B30"/>
    <mergeCell ref="C29:C30"/>
    <mergeCell ref="D27:D28"/>
    <mergeCell ref="D29:D30"/>
    <mergeCell ref="C35:C36"/>
    <mergeCell ref="B31:B32"/>
    <mergeCell ref="B33:B34"/>
    <mergeCell ref="B35:B36"/>
    <mergeCell ref="C33:C34"/>
    <mergeCell ref="C31:C32"/>
    <mergeCell ref="B27:B28"/>
    <mergeCell ref="D33:D34"/>
    <mergeCell ref="AC31:AC32"/>
    <mergeCell ref="AC33:AC34"/>
    <mergeCell ref="AB31:AB32"/>
    <mergeCell ref="AB33:AB34"/>
    <mergeCell ref="AB27:AB28"/>
    <mergeCell ref="AB29:AB30"/>
    <mergeCell ref="AC27:AC28"/>
    <mergeCell ref="AC29:AC30"/>
    <mergeCell ref="E62:G62"/>
    <mergeCell ref="E60:G60"/>
    <mergeCell ref="K35:L35"/>
    <mergeCell ref="AC35:AC36"/>
    <mergeCell ref="E61:G61"/>
    <mergeCell ref="AB35:AB36"/>
    <mergeCell ref="P59:Q59"/>
    <mergeCell ref="P60:Q60"/>
    <mergeCell ref="N60:O60"/>
    <mergeCell ref="P61:Q61"/>
    <mergeCell ref="E68:G68"/>
    <mergeCell ref="E63:G63"/>
    <mergeCell ref="E64:G64"/>
    <mergeCell ref="E65:G65"/>
    <mergeCell ref="E66:G66"/>
    <mergeCell ref="E67:G67"/>
    <mergeCell ref="P67:Q67"/>
    <mergeCell ref="P68:Q68"/>
    <mergeCell ref="P66:Q66"/>
    <mergeCell ref="P64:Q64"/>
    <mergeCell ref="P65:Q65"/>
    <mergeCell ref="N63:O63"/>
    <mergeCell ref="N61:O61"/>
    <mergeCell ref="N62:O62"/>
    <mergeCell ref="P62:Q62"/>
    <mergeCell ref="P63:Q63"/>
    <mergeCell ref="N68:O68"/>
    <mergeCell ref="N67:O67"/>
    <mergeCell ref="N66:O66"/>
    <mergeCell ref="N64:O64"/>
    <mergeCell ref="N65:O65"/>
  </mergeCells>
  <hyperlinks>
    <hyperlink ref="U35" r:id="rId1" display="The Big Day"/>
  </hyperlinks>
  <printOptions horizontalCentered="1" verticalCentered="1"/>
  <pageMargins left="0.12" right="0.55" top="0.42" bottom="0.31496062992125984" header="0.2" footer="0.1968503937007874"/>
  <pageSetup fitToHeight="1" fitToWidth="1" horizontalDpi="360" verticalDpi="360" orientation="portrait" paperSize="9" scale="8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5:J57"/>
  <sheetViews>
    <sheetView workbookViewId="0" topLeftCell="A7">
      <selection activeCell="A1" sqref="A1"/>
    </sheetView>
  </sheetViews>
  <sheetFormatPr defaultColWidth="11.5546875" defaultRowHeight="15"/>
  <cols>
    <col min="1" max="1" width="5.4453125" style="0" customWidth="1"/>
    <col min="2" max="2" width="6.21484375" style="0" customWidth="1"/>
    <col min="3" max="3" width="7.77734375" style="70" customWidth="1"/>
    <col min="4" max="4" width="7.99609375" style="71" customWidth="1"/>
    <col min="5" max="5" width="9.4453125" style="70" customWidth="1"/>
    <col min="6" max="6" width="8.77734375" style="70" bestFit="1" customWidth="1"/>
    <col min="7" max="7" width="5.4453125" style="0" bestFit="1" customWidth="1"/>
    <col min="10" max="10" width="12.10546875" style="0" customWidth="1"/>
    <col min="11" max="11" width="8.99609375" style="0" customWidth="1"/>
    <col min="12" max="12" width="4.8867187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>
      <c r="A25" t="s">
        <v>81</v>
      </c>
    </row>
    <row r="26" ht="15"/>
    <row r="27" spans="1:10" ht="16.5" thickBot="1">
      <c r="A27" s="70" t="s">
        <v>79</v>
      </c>
      <c r="B27" s="90" t="s">
        <v>52</v>
      </c>
      <c r="C27" s="71" t="s">
        <v>52</v>
      </c>
      <c r="D27" s="91" t="s">
        <v>53</v>
      </c>
      <c r="E27" s="70" t="s">
        <v>50</v>
      </c>
      <c r="F27" s="92" t="s">
        <v>54</v>
      </c>
      <c r="G27" s="95" t="s">
        <v>51</v>
      </c>
      <c r="H27" s="91" t="s">
        <v>77</v>
      </c>
      <c r="I27" s="67">
        <v>0.0046875</v>
      </c>
      <c r="J27" s="84">
        <f>+I27</f>
        <v>0.0046875</v>
      </c>
    </row>
    <row r="28" spans="1:10" ht="15.75">
      <c r="A28" s="66">
        <v>1</v>
      </c>
      <c r="B28" s="85">
        <v>0.0052662037037037035</v>
      </c>
      <c r="C28" s="71">
        <v>0.005439814814814815</v>
      </c>
      <c r="D28" s="87">
        <v>0.005543981481481482</v>
      </c>
      <c r="E28" s="73">
        <f>+D28</f>
        <v>0.005543981481481482</v>
      </c>
      <c r="F28" s="85">
        <f>+E28/A28</f>
        <v>0.005543981481481482</v>
      </c>
      <c r="G28" s="96">
        <v>118</v>
      </c>
      <c r="H28" s="87">
        <f>+D28/1.609</f>
        <v>0.0034456068871855077</v>
      </c>
      <c r="I28" s="67">
        <v>0.005902777777777778</v>
      </c>
      <c r="J28" s="84">
        <f>+I28</f>
        <v>0.005902777777777778</v>
      </c>
    </row>
    <row r="29" spans="1:10" ht="15.75">
      <c r="A29" s="66">
        <v>2</v>
      </c>
      <c r="B29" s="85">
        <v>0.0052662037037037035</v>
      </c>
      <c r="C29" s="71">
        <v>0.005439814814814815</v>
      </c>
      <c r="D29" s="87">
        <v>0.005729166666666667</v>
      </c>
      <c r="E29" s="73">
        <f>+E28+D29</f>
        <v>0.01127314814814815</v>
      </c>
      <c r="F29" s="85">
        <f>+E29/A29</f>
        <v>0.005636574074074075</v>
      </c>
      <c r="G29" s="96">
        <v>121</v>
      </c>
      <c r="H29" s="87">
        <f aca="true" t="shared" si="0" ref="H29:H53">+D29/1.609</f>
        <v>0.0035607002278848147</v>
      </c>
      <c r="I29" s="67">
        <v>0.003993055555555556</v>
      </c>
      <c r="J29" s="84">
        <f>+I29</f>
        <v>0.003993055555555556</v>
      </c>
    </row>
    <row r="30" spans="1:10" ht="15.75">
      <c r="A30" s="66">
        <v>3</v>
      </c>
      <c r="B30" s="85">
        <v>0.0052662037037037035</v>
      </c>
      <c r="C30" s="71">
        <v>0.005381944444444445</v>
      </c>
      <c r="D30" s="87">
        <v>0.005474537037037037</v>
      </c>
      <c r="E30" s="73">
        <f aca="true" t="shared" si="1" ref="E30:E52">+E29+D30</f>
        <v>0.01674768518518519</v>
      </c>
      <c r="F30" s="85">
        <f aca="true" t="shared" si="2" ref="F30:F53">+E30/A30</f>
        <v>0.005582561728395063</v>
      </c>
      <c r="G30" s="96">
        <v>126</v>
      </c>
      <c r="H30" s="87">
        <f t="shared" si="0"/>
        <v>0.0034024468844232676</v>
      </c>
      <c r="I30" s="67">
        <v>0.004166666666666667</v>
      </c>
      <c r="J30" s="84">
        <f>+I30</f>
        <v>0.004166666666666667</v>
      </c>
    </row>
    <row r="31" spans="1:10" ht="15.75">
      <c r="A31" s="66">
        <v>4</v>
      </c>
      <c r="B31" s="85">
        <v>0.0052662037037037035</v>
      </c>
      <c r="C31" s="71">
        <v>0.005324074074074075</v>
      </c>
      <c r="D31" s="87">
        <v>0.004861111111111111</v>
      </c>
      <c r="E31" s="73">
        <f t="shared" si="1"/>
        <v>0.0216087962962963</v>
      </c>
      <c r="F31" s="85">
        <f t="shared" si="2"/>
        <v>0.005402199074074075</v>
      </c>
      <c r="G31" s="96">
        <v>131</v>
      </c>
      <c r="H31" s="87">
        <f t="shared" si="0"/>
        <v>0.0030212001933568123</v>
      </c>
      <c r="I31" s="67">
        <v>0.00017361111111111112</v>
      </c>
      <c r="J31" s="84">
        <f>+I31</f>
        <v>0.00017361111111111112</v>
      </c>
    </row>
    <row r="32" spans="1:10" ht="15.75">
      <c r="A32" s="66">
        <v>5</v>
      </c>
      <c r="B32" s="86">
        <v>0.0052662037037037035</v>
      </c>
      <c r="C32" s="72">
        <v>0.005324074074074075</v>
      </c>
      <c r="D32" s="88">
        <v>0.0050347222222222225</v>
      </c>
      <c r="E32" s="74">
        <f t="shared" si="1"/>
        <v>0.02664351851851852</v>
      </c>
      <c r="F32" s="86">
        <f t="shared" si="2"/>
        <v>0.005328703703703704</v>
      </c>
      <c r="G32" s="97">
        <v>134</v>
      </c>
      <c r="H32" s="87">
        <f t="shared" si="0"/>
        <v>0.003129100200262413</v>
      </c>
      <c r="I32" s="314" t="s">
        <v>80</v>
      </c>
      <c r="J32" s="314"/>
    </row>
    <row r="33" spans="1:8" ht="15.75">
      <c r="A33" s="66">
        <v>6</v>
      </c>
      <c r="B33" s="85">
        <v>0.0052662037037037035</v>
      </c>
      <c r="C33" s="71">
        <v>0.0052662037037037035</v>
      </c>
      <c r="D33" s="87">
        <v>0.005300925925925925</v>
      </c>
      <c r="E33" s="73">
        <f t="shared" si="1"/>
        <v>0.03194444444444445</v>
      </c>
      <c r="F33" s="85">
        <f t="shared" si="2"/>
        <v>0.005324074074074075</v>
      </c>
      <c r="G33" s="96">
        <v>135</v>
      </c>
      <c r="H33" s="87">
        <f t="shared" si="0"/>
        <v>0.0032945468775176664</v>
      </c>
    </row>
    <row r="34" spans="1:8" ht="15.75">
      <c r="A34" s="66">
        <v>7</v>
      </c>
      <c r="B34" s="85">
        <v>0.0052662037037037035</v>
      </c>
      <c r="C34" s="71">
        <v>0.0052662037037037035</v>
      </c>
      <c r="D34" s="87">
        <v>0.005300925925925925</v>
      </c>
      <c r="E34" s="73">
        <f t="shared" si="1"/>
        <v>0.03724537037037037</v>
      </c>
      <c r="F34" s="85">
        <f t="shared" si="2"/>
        <v>0.005320767195767196</v>
      </c>
      <c r="G34" s="96">
        <v>132</v>
      </c>
      <c r="H34" s="87">
        <f t="shared" si="0"/>
        <v>0.0032945468775176664</v>
      </c>
    </row>
    <row r="35" spans="1:8" ht="15.75">
      <c r="A35" s="66">
        <v>8</v>
      </c>
      <c r="B35" s="85">
        <v>0.0052662037037037035</v>
      </c>
      <c r="C35" s="71">
        <v>0.0052662037037037035</v>
      </c>
      <c r="D35" s="87">
        <v>0.0051967592592592595</v>
      </c>
      <c r="E35" s="73">
        <f t="shared" si="1"/>
        <v>0.042442129629629635</v>
      </c>
      <c r="F35" s="85">
        <f t="shared" si="2"/>
        <v>0.005305266203703704</v>
      </c>
      <c r="G35" s="96">
        <v>131</v>
      </c>
      <c r="H35" s="87">
        <f t="shared" si="0"/>
        <v>0.003229806873374307</v>
      </c>
    </row>
    <row r="36" spans="1:8" ht="15.75">
      <c r="A36" s="66">
        <v>9</v>
      </c>
      <c r="B36" s="85">
        <v>0.0052662037037037035</v>
      </c>
      <c r="C36" s="71">
        <v>0.0052662037037037035</v>
      </c>
      <c r="D36" s="87">
        <v>0.005277777777777777</v>
      </c>
      <c r="E36" s="73">
        <f t="shared" si="1"/>
        <v>0.04771990740740741</v>
      </c>
      <c r="F36" s="85">
        <f t="shared" si="2"/>
        <v>0.005302211934156379</v>
      </c>
      <c r="G36" s="96">
        <v>132</v>
      </c>
      <c r="H36" s="87">
        <f t="shared" si="0"/>
        <v>0.003280160209930253</v>
      </c>
    </row>
    <row r="37" spans="1:8" ht="15.75">
      <c r="A37" s="66">
        <v>10</v>
      </c>
      <c r="B37" s="86">
        <v>0.0052662037037037035</v>
      </c>
      <c r="C37" s="72">
        <v>0.0052662037037037035</v>
      </c>
      <c r="D37" s="88">
        <v>0.005694444444444444</v>
      </c>
      <c r="E37" s="74">
        <f t="shared" si="1"/>
        <v>0.05341435185185186</v>
      </c>
      <c r="F37" s="86">
        <f t="shared" si="2"/>
        <v>0.005341435185185186</v>
      </c>
      <c r="G37" s="97">
        <v>131</v>
      </c>
      <c r="H37" s="87">
        <f t="shared" si="0"/>
        <v>0.003539120226503694</v>
      </c>
    </row>
    <row r="38" spans="1:8" ht="15.75">
      <c r="A38" s="66">
        <v>11</v>
      </c>
      <c r="B38" s="85">
        <v>0.0052662037037037035</v>
      </c>
      <c r="C38" s="71">
        <v>0.005208333333333333</v>
      </c>
      <c r="D38" s="89">
        <v>0.0051967592592592595</v>
      </c>
      <c r="E38" s="73">
        <f t="shared" si="1"/>
        <v>0.05861111111111112</v>
      </c>
      <c r="F38" s="85">
        <f t="shared" si="2"/>
        <v>0.005328282828282829</v>
      </c>
      <c r="G38" s="96">
        <v>133</v>
      </c>
      <c r="H38" s="87">
        <f t="shared" si="0"/>
        <v>0.003229806873374307</v>
      </c>
    </row>
    <row r="39" spans="1:8" ht="15.75">
      <c r="A39" s="66">
        <v>12</v>
      </c>
      <c r="B39" s="85">
        <v>0.0052662037037037035</v>
      </c>
      <c r="C39" s="71">
        <v>0.005208333333333333</v>
      </c>
      <c r="D39" s="87">
        <v>0.005393518518518519</v>
      </c>
      <c r="E39" s="73">
        <f t="shared" si="1"/>
        <v>0.06400462962962963</v>
      </c>
      <c r="F39" s="85">
        <f t="shared" si="2"/>
        <v>0.00533371913580247</v>
      </c>
      <c r="G39" s="96">
        <v>132</v>
      </c>
      <c r="H39" s="87">
        <f t="shared" si="0"/>
        <v>0.0033520935478673205</v>
      </c>
    </row>
    <row r="40" spans="1:8" ht="15.75">
      <c r="A40" s="66">
        <v>13</v>
      </c>
      <c r="B40" s="85">
        <v>0.0052662037037037035</v>
      </c>
      <c r="C40" s="71">
        <v>0.005208333333333333</v>
      </c>
      <c r="D40" s="87">
        <v>0.005393518518518519</v>
      </c>
      <c r="E40" s="73">
        <f t="shared" si="1"/>
        <v>0.06939814814814815</v>
      </c>
      <c r="F40" s="85">
        <f t="shared" si="2"/>
        <v>0.005338319088319088</v>
      </c>
      <c r="G40" s="96">
        <v>132</v>
      </c>
      <c r="H40" s="87">
        <f t="shared" si="0"/>
        <v>0.0033520935478673205</v>
      </c>
    </row>
    <row r="41" spans="1:8" ht="15.75">
      <c r="A41" s="66">
        <v>14</v>
      </c>
      <c r="B41" s="85">
        <v>0.0052662037037037035</v>
      </c>
      <c r="C41" s="71">
        <v>0.005208333333333333</v>
      </c>
      <c r="D41" s="87">
        <v>0.005393518518518519</v>
      </c>
      <c r="E41" s="73">
        <f t="shared" si="1"/>
        <v>0.07479166666666667</v>
      </c>
      <c r="F41" s="85">
        <f t="shared" si="2"/>
        <v>0.005342261904761905</v>
      </c>
      <c r="G41" s="96">
        <v>133</v>
      </c>
      <c r="H41" s="87">
        <f t="shared" si="0"/>
        <v>0.0033520935478673205</v>
      </c>
    </row>
    <row r="42" spans="1:9" ht="15.75">
      <c r="A42" s="66">
        <v>15</v>
      </c>
      <c r="B42" s="86">
        <v>0.0052662037037037035</v>
      </c>
      <c r="C42" s="72">
        <v>0.005208333333333333</v>
      </c>
      <c r="D42" s="88">
        <v>0.005324074074074075</v>
      </c>
      <c r="E42" s="74">
        <f t="shared" si="1"/>
        <v>0.08011574074074075</v>
      </c>
      <c r="F42" s="86">
        <f t="shared" si="2"/>
        <v>0.00534104938271605</v>
      </c>
      <c r="G42" s="97">
        <v>132</v>
      </c>
      <c r="H42" s="87">
        <f t="shared" si="0"/>
        <v>0.003308933545105081</v>
      </c>
      <c r="I42" s="67"/>
    </row>
    <row r="43" spans="1:9" ht="15.75">
      <c r="A43" s="66">
        <v>16</v>
      </c>
      <c r="B43" s="85">
        <v>0.0052662037037037035</v>
      </c>
      <c r="C43" s="71">
        <v>0.005208333333333333</v>
      </c>
      <c r="D43" s="89">
        <v>0.005335648148148148</v>
      </c>
      <c r="E43" s="73">
        <f t="shared" si="1"/>
        <v>0.0854513888888889</v>
      </c>
      <c r="F43" s="85">
        <f t="shared" si="2"/>
        <v>0.005340711805555556</v>
      </c>
      <c r="G43" s="96">
        <v>134</v>
      </c>
      <c r="H43" s="87">
        <f t="shared" si="0"/>
        <v>0.003316126878898787</v>
      </c>
      <c r="I43" s="67"/>
    </row>
    <row r="44" spans="1:9" ht="15.75">
      <c r="A44" s="66">
        <v>17</v>
      </c>
      <c r="B44" s="85">
        <v>0.0052662037037037035</v>
      </c>
      <c r="C44" s="71">
        <v>0.005208333333333333</v>
      </c>
      <c r="D44" s="87">
        <v>0.005324074074074075</v>
      </c>
      <c r="E44" s="73">
        <f t="shared" si="1"/>
        <v>0.09077546296296297</v>
      </c>
      <c r="F44" s="85">
        <f t="shared" si="2"/>
        <v>0.00533973311546841</v>
      </c>
      <c r="G44" s="96">
        <v>134</v>
      </c>
      <c r="H44" s="87">
        <f t="shared" si="0"/>
        <v>0.003308933545105081</v>
      </c>
      <c r="I44" s="67"/>
    </row>
    <row r="45" spans="1:8" ht="15.75">
      <c r="A45" s="66">
        <v>18</v>
      </c>
      <c r="B45" s="85">
        <v>0.0052662037037037035</v>
      </c>
      <c r="C45" s="71">
        <v>0.0052662037037037035</v>
      </c>
      <c r="D45" s="87">
        <v>0.0053125</v>
      </c>
      <c r="E45" s="73">
        <f t="shared" si="1"/>
        <v>0.09608796296296297</v>
      </c>
      <c r="F45" s="85">
        <f t="shared" si="2"/>
        <v>0.005338220164609054</v>
      </c>
      <c r="G45" s="96">
        <v>135</v>
      </c>
      <c r="H45" s="87">
        <f t="shared" si="0"/>
        <v>0.003301740211311374</v>
      </c>
    </row>
    <row r="46" spans="1:8" ht="15.75">
      <c r="A46" s="66">
        <v>19</v>
      </c>
      <c r="B46" s="85">
        <v>0.0052662037037037035</v>
      </c>
      <c r="C46" s="71">
        <v>0.0052662037037037035</v>
      </c>
      <c r="D46" s="87">
        <v>0.0052893518518518515</v>
      </c>
      <c r="E46" s="73">
        <f t="shared" si="1"/>
        <v>0.10137731481481482</v>
      </c>
      <c r="F46" s="85">
        <f t="shared" si="2"/>
        <v>0.005335648148148148</v>
      </c>
      <c r="G46" s="96">
        <v>136</v>
      </c>
      <c r="H46" s="87">
        <f t="shared" si="0"/>
        <v>0.0032873535437239598</v>
      </c>
    </row>
    <row r="47" spans="1:8" ht="15.75">
      <c r="A47" s="66">
        <v>20</v>
      </c>
      <c r="B47" s="86">
        <v>0.0052662037037037035</v>
      </c>
      <c r="C47" s="72">
        <v>0.0052662037037037035</v>
      </c>
      <c r="D47" s="88">
        <v>0.0052893518518518515</v>
      </c>
      <c r="E47" s="74">
        <f t="shared" si="1"/>
        <v>0.10666666666666667</v>
      </c>
      <c r="F47" s="86">
        <f t="shared" si="2"/>
        <v>0.005333333333333334</v>
      </c>
      <c r="G47" s="97">
        <v>137</v>
      </c>
      <c r="H47" s="87">
        <f t="shared" si="0"/>
        <v>0.0032873535437239598</v>
      </c>
    </row>
    <row r="48" spans="1:8" ht="15.75">
      <c r="A48" s="66">
        <v>21</v>
      </c>
      <c r="B48" s="85">
        <v>0.0052662037037037035</v>
      </c>
      <c r="C48" s="71">
        <v>0.005324074074074075</v>
      </c>
      <c r="D48" s="89">
        <v>0.0052893518518518515</v>
      </c>
      <c r="E48" s="73">
        <f t="shared" si="1"/>
        <v>0.11195601851851852</v>
      </c>
      <c r="F48" s="85">
        <f t="shared" si="2"/>
        <v>0.0053312389770723105</v>
      </c>
      <c r="G48" s="96">
        <v>138</v>
      </c>
      <c r="H48" s="87">
        <f t="shared" si="0"/>
        <v>0.0032873535437239598</v>
      </c>
    </row>
    <row r="49" spans="1:8" ht="15.75">
      <c r="A49" s="66">
        <v>22</v>
      </c>
      <c r="B49" s="85">
        <v>0.0052662037037037035</v>
      </c>
      <c r="C49" s="71">
        <v>0.005324074074074075</v>
      </c>
      <c r="D49" s="87">
        <v>0.0052893518518518515</v>
      </c>
      <c r="E49" s="73">
        <f t="shared" si="1"/>
        <v>0.11724537037037037</v>
      </c>
      <c r="F49" s="85">
        <f t="shared" si="2"/>
        <v>0.005329335016835017</v>
      </c>
      <c r="G49" s="96">
        <v>138</v>
      </c>
      <c r="H49" s="87">
        <f t="shared" si="0"/>
        <v>0.0032873535437239598</v>
      </c>
    </row>
    <row r="50" spans="1:8" ht="15.75">
      <c r="A50" s="66">
        <v>23</v>
      </c>
      <c r="B50" s="85">
        <v>0.0052662037037037035</v>
      </c>
      <c r="C50" s="71">
        <v>0.005381944444444445</v>
      </c>
      <c r="D50" s="87">
        <v>0.005335648148148148</v>
      </c>
      <c r="E50" s="73">
        <f t="shared" si="1"/>
        <v>0.12258101851851852</v>
      </c>
      <c r="F50" s="85">
        <f t="shared" si="2"/>
        <v>0.005329609500805153</v>
      </c>
      <c r="G50" s="96">
        <v>140</v>
      </c>
      <c r="H50" s="87">
        <f t="shared" si="0"/>
        <v>0.003316126878898787</v>
      </c>
    </row>
    <row r="51" spans="1:8" ht="15.75">
      <c r="A51" s="66">
        <v>24</v>
      </c>
      <c r="B51" s="85">
        <v>0.0052662037037037035</v>
      </c>
      <c r="C51" s="71">
        <v>0.005381944444444445</v>
      </c>
      <c r="D51" s="87">
        <v>0.005324074074074075</v>
      </c>
      <c r="E51" s="73">
        <f t="shared" si="1"/>
        <v>0.12790509259259258</v>
      </c>
      <c r="F51" s="85">
        <f t="shared" si="2"/>
        <v>0.005329378858024691</v>
      </c>
      <c r="G51" s="96">
        <v>139</v>
      </c>
      <c r="H51" s="87">
        <f t="shared" si="0"/>
        <v>0.003308933545105081</v>
      </c>
    </row>
    <row r="52" spans="1:8" ht="15.75">
      <c r="A52" s="66">
        <v>25</v>
      </c>
      <c r="B52" s="86">
        <v>0.0052662037037037035</v>
      </c>
      <c r="C52" s="72">
        <v>0.005381944444444445</v>
      </c>
      <c r="D52" s="88">
        <v>0.005578703703703704</v>
      </c>
      <c r="E52" s="74">
        <f t="shared" si="1"/>
        <v>0.13348379629629628</v>
      </c>
      <c r="F52" s="86">
        <f t="shared" si="2"/>
        <v>0.005339351851851851</v>
      </c>
      <c r="G52" s="97">
        <v>139</v>
      </c>
      <c r="H52" s="87">
        <f t="shared" si="0"/>
        <v>0.0034671868885666275</v>
      </c>
    </row>
    <row r="53" spans="1:10" ht="15.75">
      <c r="A53" s="66">
        <v>26.2</v>
      </c>
      <c r="B53" s="85">
        <v>0.0052662037037037035</v>
      </c>
      <c r="C53" s="71">
        <v>0.005381944444444445</v>
      </c>
      <c r="D53" s="89">
        <v>0.005439814814814815</v>
      </c>
      <c r="E53" s="73">
        <f>+E52+D53*1.22</f>
        <v>0.14012037037037037</v>
      </c>
      <c r="F53" s="85">
        <f t="shared" si="2"/>
        <v>0.005348105739327113</v>
      </c>
      <c r="G53" s="96">
        <v>139</v>
      </c>
      <c r="H53" s="87">
        <f t="shared" si="0"/>
        <v>0.0033808668830421474</v>
      </c>
      <c r="I53" s="85"/>
      <c r="J53" s="85"/>
    </row>
    <row r="54" spans="1:10" ht="15">
      <c r="A54" s="66"/>
      <c r="B54" s="71"/>
      <c r="G54" s="68"/>
      <c r="I54" s="69"/>
      <c r="J54" s="69"/>
    </row>
    <row r="55" spans="3:5" ht="15">
      <c r="C55" s="71"/>
      <c r="E55" s="73"/>
    </row>
    <row r="56" spans="3:10" ht="15">
      <c r="C56" s="71"/>
      <c r="E56" s="73"/>
      <c r="J56" s="67"/>
    </row>
    <row r="57" ht="15">
      <c r="J57" s="67"/>
    </row>
  </sheetData>
  <mergeCells count="1">
    <mergeCell ref="I32:J32"/>
  </mergeCells>
  <printOptions/>
  <pageMargins left="0.75" right="0.75" top="1" bottom="1" header="0.4921259845" footer="0.4921259845"/>
  <pageSetup horizontalDpi="360" verticalDpi="36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3">
      <selection activeCell="E3" sqref="E3"/>
    </sheetView>
  </sheetViews>
  <sheetFormatPr defaultColWidth="9.77734375" defaultRowHeight="15" outlineLevelRow="1"/>
  <cols>
    <col min="9" max="9" width="2.88671875" style="0" customWidth="1"/>
    <col min="10" max="10" width="7.6640625" style="0" customWidth="1"/>
    <col min="12" max="12" width="4.4453125" style="0" customWidth="1"/>
  </cols>
  <sheetData>
    <row r="1" spans="1:10" ht="15.75">
      <c r="A1" s="1" t="s">
        <v>44</v>
      </c>
      <c r="E1" s="9" t="s">
        <v>26</v>
      </c>
      <c r="F1" s="10">
        <f>F2/1.609</f>
        <v>26.22436295835923</v>
      </c>
      <c r="G1" s="11"/>
      <c r="H1" s="12"/>
      <c r="J1" s="50" t="s">
        <v>45</v>
      </c>
    </row>
    <row r="2" spans="5:10" ht="15">
      <c r="E2" s="13" t="s">
        <v>48</v>
      </c>
      <c r="F2" s="14">
        <v>42.195</v>
      </c>
      <c r="G2" s="15"/>
      <c r="H2" s="16"/>
      <c r="J2" s="51" t="s">
        <v>41</v>
      </c>
    </row>
    <row r="3" ht="16.5" thickBot="1">
      <c r="J3" s="31">
        <v>0.40625</v>
      </c>
    </row>
    <row r="4" spans="2:10" ht="15.75" hidden="1" outlineLevel="1" thickBot="1">
      <c r="B4">
        <f>+B5*60+B6</f>
        <v>180</v>
      </c>
      <c r="C4">
        <f aca="true" t="shared" si="0" ref="C4:J4">+C5*60+C6</f>
        <v>200</v>
      </c>
      <c r="D4">
        <f t="shared" si="0"/>
        <v>210</v>
      </c>
      <c r="E4" s="3">
        <f t="shared" si="0"/>
        <v>225</v>
      </c>
      <c r="F4">
        <f t="shared" si="0"/>
        <v>240</v>
      </c>
      <c r="G4">
        <f t="shared" si="0"/>
        <v>250</v>
      </c>
      <c r="H4">
        <f t="shared" si="0"/>
        <v>260</v>
      </c>
      <c r="J4">
        <f t="shared" si="0"/>
        <v>225</v>
      </c>
    </row>
    <row r="5" spans="1:10" ht="15.75" collapsed="1">
      <c r="A5" t="s">
        <v>42</v>
      </c>
      <c r="B5" s="4">
        <v>3</v>
      </c>
      <c r="C5" s="4">
        <v>3</v>
      </c>
      <c r="D5" s="4">
        <v>3</v>
      </c>
      <c r="E5" s="18">
        <v>3</v>
      </c>
      <c r="F5" s="4">
        <v>4</v>
      </c>
      <c r="G5" s="4">
        <v>4</v>
      </c>
      <c r="H5" s="4">
        <v>4</v>
      </c>
      <c r="J5" s="30">
        <f>+E5</f>
        <v>3</v>
      </c>
    </row>
    <row r="6" spans="1:10" ht="15.75">
      <c r="A6" t="s">
        <v>43</v>
      </c>
      <c r="B6" s="4">
        <v>0</v>
      </c>
      <c r="C6" s="4">
        <v>20</v>
      </c>
      <c r="D6" s="4">
        <v>30</v>
      </c>
      <c r="E6" s="19">
        <v>45</v>
      </c>
      <c r="F6" s="4">
        <v>0</v>
      </c>
      <c r="G6" s="4">
        <v>10</v>
      </c>
      <c r="H6" s="4">
        <v>20</v>
      </c>
      <c r="J6" s="30">
        <f>+E6</f>
        <v>45</v>
      </c>
    </row>
    <row r="7" spans="2:10" ht="8.25" customHeight="1">
      <c r="B7" s="4"/>
      <c r="C7" s="4"/>
      <c r="D7" s="4"/>
      <c r="E7" s="19"/>
      <c r="F7" s="4"/>
      <c r="G7" s="4"/>
      <c r="H7" s="4"/>
      <c r="J7" s="30"/>
    </row>
    <row r="8" spans="1:10" ht="15">
      <c r="A8" s="2" t="s">
        <v>47</v>
      </c>
      <c r="B8" s="5"/>
      <c r="C8" s="5"/>
      <c r="D8" s="5"/>
      <c r="E8" s="20"/>
      <c r="F8" s="5"/>
      <c r="G8" s="5"/>
      <c r="H8" s="6"/>
      <c r="J8" s="32"/>
    </row>
    <row r="9" spans="1:12" ht="15">
      <c r="A9" s="43">
        <v>1</v>
      </c>
      <c r="B9" s="40">
        <f aca="true" t="shared" si="1" ref="B9:H9">B4/$A$50/24/60</f>
        <v>0.002962436307619386</v>
      </c>
      <c r="C9" s="40">
        <f t="shared" si="1"/>
        <v>0.003291595897354873</v>
      </c>
      <c r="D9" s="36">
        <f t="shared" si="1"/>
        <v>0.003456175692222617</v>
      </c>
      <c r="E9" s="21">
        <f t="shared" si="1"/>
        <v>0.0037030453845242326</v>
      </c>
      <c r="F9" s="40">
        <f t="shared" si="1"/>
        <v>0.003949915076825848</v>
      </c>
      <c r="G9" s="47">
        <f t="shared" si="1"/>
        <v>0.004114494871693592</v>
      </c>
      <c r="H9" s="40">
        <f t="shared" si="1"/>
        <v>0.004279074666561336</v>
      </c>
      <c r="J9" s="33">
        <f>($J$4/$A$50/24/60)*A9+$J$3</f>
        <v>0.4099530453845242</v>
      </c>
      <c r="K9" s="36"/>
      <c r="L9" s="122"/>
    </row>
    <row r="10" spans="1:12" ht="15" hidden="1" outlineLevel="1">
      <c r="A10" s="43">
        <v>2</v>
      </c>
      <c r="B10" s="40">
        <f>+A10*$B$9</f>
        <v>0.005924872615238772</v>
      </c>
      <c r="C10" s="40">
        <f>+A10*$C$9</f>
        <v>0.006583191794709746</v>
      </c>
      <c r="D10" s="36">
        <f>+A10*$D$9</f>
        <v>0.006912351384445234</v>
      </c>
      <c r="E10" s="21">
        <f aca="true" t="shared" si="2" ref="E10:E17">+A10*$E$9</f>
        <v>0.007406090769048465</v>
      </c>
      <c r="F10" s="40">
        <f>+A10*$F$9</f>
        <v>0.007899830153651696</v>
      </c>
      <c r="G10" s="47">
        <f>+A10*$G$9</f>
        <v>0.008228989743387184</v>
      </c>
      <c r="H10" s="40">
        <f>+A10*$H$9</f>
        <v>0.008558149333122673</v>
      </c>
      <c r="J10" s="33">
        <f>($J$4/$A$50/24/60)*A10+$J$3</f>
        <v>0.41365609076904847</v>
      </c>
      <c r="K10" s="36"/>
      <c r="L10" s="122"/>
    </row>
    <row r="11" spans="1:12" ht="15" hidden="1" outlineLevel="1">
      <c r="A11" s="43">
        <v>3</v>
      </c>
      <c r="B11" s="40">
        <f aca="true" t="shared" si="3" ref="B11:B27">+A11*$B$9</f>
        <v>0.008887308922858158</v>
      </c>
      <c r="C11" s="40">
        <f aca="true" t="shared" si="4" ref="C11:C27">+A11*$C$9</f>
        <v>0.00987478769206462</v>
      </c>
      <c r="D11" s="36">
        <f aca="true" t="shared" si="5" ref="D11:D27">+A11*$D$9</f>
        <v>0.010368527076667852</v>
      </c>
      <c r="E11" s="21">
        <f t="shared" si="2"/>
        <v>0.011109136153572698</v>
      </c>
      <c r="F11" s="40">
        <f aca="true" t="shared" si="6" ref="F11:F27">+A11*$F$9</f>
        <v>0.011849745230477543</v>
      </c>
      <c r="G11" s="47">
        <f aca="true" t="shared" si="7" ref="G11:G27">+A11*$G$9</f>
        <v>0.012343484615080776</v>
      </c>
      <c r="H11" s="40">
        <f aca="true" t="shared" si="8" ref="H11:H27">+A11*$H$9</f>
        <v>0.01283722399968401</v>
      </c>
      <c r="J11" s="33">
        <f aca="true" t="shared" si="9" ref="J11:J27">($J$4/$A$50/24/60)*A11+$J$3</f>
        <v>0.4173591361535727</v>
      </c>
      <c r="K11" s="36"/>
      <c r="L11" s="122"/>
    </row>
    <row r="12" spans="1:12" ht="15" hidden="1" outlineLevel="1">
      <c r="A12" s="43">
        <v>4</v>
      </c>
      <c r="B12" s="40">
        <f t="shared" si="3"/>
        <v>0.011849745230477543</v>
      </c>
      <c r="C12" s="40">
        <f t="shared" si="4"/>
        <v>0.013166383589419493</v>
      </c>
      <c r="D12" s="36">
        <f t="shared" si="5"/>
        <v>0.013824702768890468</v>
      </c>
      <c r="E12" s="21">
        <f t="shared" si="2"/>
        <v>0.01481218153809693</v>
      </c>
      <c r="F12" s="40">
        <f t="shared" si="6"/>
        <v>0.01579966030730339</v>
      </c>
      <c r="G12" s="47">
        <f t="shared" si="7"/>
        <v>0.01645797948677437</v>
      </c>
      <c r="H12" s="40">
        <f t="shared" si="8"/>
        <v>0.017116298666245346</v>
      </c>
      <c r="J12" s="33">
        <f t="shared" si="9"/>
        <v>0.42106218153809694</v>
      </c>
      <c r="K12" s="36"/>
      <c r="L12" s="122"/>
    </row>
    <row r="13" spans="1:12" ht="15" collapsed="1">
      <c r="A13" s="43">
        <v>5</v>
      </c>
      <c r="B13" s="40">
        <f t="shared" si="3"/>
        <v>0.014812181538096929</v>
      </c>
      <c r="C13" s="40">
        <f t="shared" si="4"/>
        <v>0.016457979486774365</v>
      </c>
      <c r="D13" s="36">
        <f t="shared" si="5"/>
        <v>0.017280878461113085</v>
      </c>
      <c r="E13" s="21">
        <f t="shared" si="2"/>
        <v>0.018515226922621163</v>
      </c>
      <c r="F13" s="40">
        <f t="shared" si="6"/>
        <v>0.01974957538412924</v>
      </c>
      <c r="G13" s="47">
        <f t="shared" si="7"/>
        <v>0.02057247435846796</v>
      </c>
      <c r="H13" s="40">
        <f t="shared" si="8"/>
        <v>0.02139537333280668</v>
      </c>
      <c r="J13" s="33">
        <f t="shared" si="9"/>
        <v>0.42476522692262114</v>
      </c>
      <c r="L13" s="122"/>
    </row>
    <row r="14" spans="1:12" ht="15" hidden="1" outlineLevel="1">
      <c r="A14" s="43">
        <v>6</v>
      </c>
      <c r="B14" s="40">
        <f t="shared" si="3"/>
        <v>0.017774617845716316</v>
      </c>
      <c r="C14" s="40">
        <f t="shared" si="4"/>
        <v>0.01974957538412924</v>
      </c>
      <c r="D14" s="36">
        <f t="shared" si="5"/>
        <v>0.020737054153335703</v>
      </c>
      <c r="E14" s="21">
        <f t="shared" si="2"/>
        <v>0.022218272307145397</v>
      </c>
      <c r="F14" s="40">
        <f t="shared" si="6"/>
        <v>0.023699490460955087</v>
      </c>
      <c r="G14" s="47">
        <f t="shared" si="7"/>
        <v>0.024686969230161553</v>
      </c>
      <c r="H14" s="40">
        <f t="shared" si="8"/>
        <v>0.02567444799936802</v>
      </c>
      <c r="J14" s="33">
        <f t="shared" si="9"/>
        <v>0.4284682723071454</v>
      </c>
      <c r="L14" s="122"/>
    </row>
    <row r="15" spans="1:12" ht="15" hidden="1" outlineLevel="1">
      <c r="A15" s="43">
        <v>7</v>
      </c>
      <c r="B15" s="40">
        <f t="shared" si="3"/>
        <v>0.0207370541533357</v>
      </c>
      <c r="C15" s="40">
        <f t="shared" si="4"/>
        <v>0.023041171281484113</v>
      </c>
      <c r="D15" s="36">
        <f t="shared" si="5"/>
        <v>0.024193229845558318</v>
      </c>
      <c r="E15" s="21">
        <f t="shared" si="2"/>
        <v>0.025921317691669627</v>
      </c>
      <c r="F15" s="40">
        <f t="shared" si="6"/>
        <v>0.027649405537780933</v>
      </c>
      <c r="G15" s="47">
        <f t="shared" si="7"/>
        <v>0.028801464101855145</v>
      </c>
      <c r="H15" s="40">
        <f t="shared" si="8"/>
        <v>0.029953522665929357</v>
      </c>
      <c r="J15" s="33">
        <f t="shared" si="9"/>
        <v>0.4321713176916696</v>
      </c>
      <c r="L15" s="122"/>
    </row>
    <row r="16" spans="1:12" ht="15" hidden="1" outlineLevel="1">
      <c r="A16" s="43">
        <v>8</v>
      </c>
      <c r="B16" s="40">
        <f t="shared" si="3"/>
        <v>0.023699490460955087</v>
      </c>
      <c r="C16" s="40">
        <f t="shared" si="4"/>
        <v>0.026332767178838985</v>
      </c>
      <c r="D16" s="36">
        <f t="shared" si="5"/>
        <v>0.027649405537780936</v>
      </c>
      <c r="E16" s="21">
        <f t="shared" si="2"/>
        <v>0.02962436307619386</v>
      </c>
      <c r="F16" s="40">
        <f t="shared" si="6"/>
        <v>0.03159932061460678</v>
      </c>
      <c r="G16" s="47">
        <f t="shared" si="7"/>
        <v>0.03291595897354874</v>
      </c>
      <c r="H16" s="40">
        <f t="shared" si="8"/>
        <v>0.03423259733249069</v>
      </c>
      <c r="J16" s="33">
        <f t="shared" si="9"/>
        <v>0.43587436307619387</v>
      </c>
      <c r="L16" s="122"/>
    </row>
    <row r="17" spans="1:12" ht="15" hidden="1" outlineLevel="1">
      <c r="A17" s="43">
        <v>9</v>
      </c>
      <c r="B17" s="40">
        <f t="shared" si="3"/>
        <v>0.026661926768574474</v>
      </c>
      <c r="C17" s="40">
        <f t="shared" si="4"/>
        <v>0.029624363076193858</v>
      </c>
      <c r="D17" s="36">
        <f t="shared" si="5"/>
        <v>0.031105581230003555</v>
      </c>
      <c r="E17" s="21">
        <f t="shared" si="2"/>
        <v>0.03332740846071809</v>
      </c>
      <c r="F17" s="40">
        <f t="shared" si="6"/>
        <v>0.03554923569143263</v>
      </c>
      <c r="G17" s="47">
        <f t="shared" si="7"/>
        <v>0.037030453845242325</v>
      </c>
      <c r="H17" s="40">
        <f t="shared" si="8"/>
        <v>0.038511671999052026</v>
      </c>
      <c r="J17" s="33">
        <f t="shared" si="9"/>
        <v>0.4395774084607181</v>
      </c>
      <c r="L17" s="122"/>
    </row>
    <row r="18" spans="1:12" ht="15" collapsed="1">
      <c r="A18" s="43">
        <v>10</v>
      </c>
      <c r="B18" s="40">
        <f t="shared" si="3"/>
        <v>0.029624363076193858</v>
      </c>
      <c r="C18" s="40">
        <f t="shared" si="4"/>
        <v>0.03291595897354873</v>
      </c>
      <c r="D18" s="36">
        <f t="shared" si="5"/>
        <v>0.03456175692222617</v>
      </c>
      <c r="E18" s="21">
        <f>E9*$A$18</f>
        <v>0.037030453845242325</v>
      </c>
      <c r="F18" s="40">
        <f t="shared" si="6"/>
        <v>0.03949915076825848</v>
      </c>
      <c r="G18" s="47">
        <f t="shared" si="7"/>
        <v>0.04114494871693592</v>
      </c>
      <c r="H18" s="40">
        <f t="shared" si="8"/>
        <v>0.04279074666561336</v>
      </c>
      <c r="J18" s="33">
        <f t="shared" si="9"/>
        <v>0.44328045384524234</v>
      </c>
      <c r="L18" s="122"/>
    </row>
    <row r="19" spans="1:12" ht="15" hidden="1" outlineLevel="1">
      <c r="A19" s="43">
        <v>11</v>
      </c>
      <c r="B19" s="40">
        <f t="shared" si="3"/>
        <v>0.032586799383813245</v>
      </c>
      <c r="C19" s="40">
        <f t="shared" si="4"/>
        <v>0.0362075548709036</v>
      </c>
      <c r="D19" s="36">
        <f t="shared" si="5"/>
        <v>0.03801793261444879</v>
      </c>
      <c r="E19" s="21">
        <f>+A19*$E$9</f>
        <v>0.04073349922976656</v>
      </c>
      <c r="F19" s="40">
        <f t="shared" si="6"/>
        <v>0.043449065845084324</v>
      </c>
      <c r="G19" s="47">
        <f t="shared" si="7"/>
        <v>0.04525944358862952</v>
      </c>
      <c r="H19" s="40">
        <f t="shared" si="8"/>
        <v>0.0470698213321747</v>
      </c>
      <c r="J19" s="33">
        <f t="shared" si="9"/>
        <v>0.44698349922976655</v>
      </c>
      <c r="L19" s="122"/>
    </row>
    <row r="20" spans="1:12" ht="15" hidden="1" outlineLevel="1">
      <c r="A20" s="43">
        <v>12</v>
      </c>
      <c r="B20" s="40">
        <f t="shared" si="3"/>
        <v>0.03554923569143263</v>
      </c>
      <c r="C20" s="40">
        <f t="shared" si="4"/>
        <v>0.03949915076825848</v>
      </c>
      <c r="D20" s="36">
        <f t="shared" si="5"/>
        <v>0.041474108306671406</v>
      </c>
      <c r="E20" s="21">
        <f>+A20*$E$9</f>
        <v>0.04443654461429079</v>
      </c>
      <c r="F20" s="40">
        <f t="shared" si="6"/>
        <v>0.047398980921910173</v>
      </c>
      <c r="G20" s="47">
        <f t="shared" si="7"/>
        <v>0.049373938460323105</v>
      </c>
      <c r="H20" s="40">
        <f t="shared" si="8"/>
        <v>0.05134889599873604</v>
      </c>
      <c r="J20" s="33">
        <f t="shared" si="9"/>
        <v>0.4506865446142908</v>
      </c>
      <c r="L20" s="122"/>
    </row>
    <row r="21" spans="1:12" ht="15" hidden="1" outlineLevel="1">
      <c r="A21" s="43">
        <v>13</v>
      </c>
      <c r="B21" s="40">
        <f t="shared" si="3"/>
        <v>0.03851167199905202</v>
      </c>
      <c r="C21" s="40">
        <f t="shared" si="4"/>
        <v>0.042790746665613354</v>
      </c>
      <c r="D21" s="36">
        <f t="shared" si="5"/>
        <v>0.044930283998894024</v>
      </c>
      <c r="E21" s="21">
        <f>+A21*$E$9</f>
        <v>0.04813958999881503</v>
      </c>
      <c r="F21" s="40">
        <f t="shared" si="6"/>
        <v>0.05134889599873602</v>
      </c>
      <c r="G21" s="47">
        <f t="shared" si="7"/>
        <v>0.053488433332016694</v>
      </c>
      <c r="H21" s="40">
        <f t="shared" si="8"/>
        <v>0.05562797066529737</v>
      </c>
      <c r="J21" s="33">
        <f t="shared" si="9"/>
        <v>0.454389589998815</v>
      </c>
      <c r="L21" s="122"/>
    </row>
    <row r="22" spans="1:12" ht="15" hidden="1" outlineLevel="1">
      <c r="A22" s="43">
        <v>14</v>
      </c>
      <c r="B22" s="40">
        <f t="shared" si="3"/>
        <v>0.0414741083066714</v>
      </c>
      <c r="C22" s="40">
        <f t="shared" si="4"/>
        <v>0.046082342562968226</v>
      </c>
      <c r="D22" s="36">
        <f t="shared" si="5"/>
        <v>0.048386459691116636</v>
      </c>
      <c r="E22" s="21">
        <f>+A22*$E$9</f>
        <v>0.051842635383339254</v>
      </c>
      <c r="F22" s="40">
        <f t="shared" si="6"/>
        <v>0.055298811075561866</v>
      </c>
      <c r="G22" s="47">
        <f t="shared" si="7"/>
        <v>0.05760292820371029</v>
      </c>
      <c r="H22" s="40">
        <f t="shared" si="8"/>
        <v>0.05990704533185871</v>
      </c>
      <c r="J22" s="33">
        <f t="shared" si="9"/>
        <v>0.4580926353833393</v>
      </c>
      <c r="L22" s="122"/>
    </row>
    <row r="23" spans="1:12" ht="15" collapsed="1">
      <c r="A23" s="43">
        <v>15</v>
      </c>
      <c r="B23" s="40">
        <f t="shared" si="3"/>
        <v>0.044436544614290786</v>
      </c>
      <c r="C23" s="40">
        <f t="shared" si="4"/>
        <v>0.0493739384603231</v>
      </c>
      <c r="D23" s="36">
        <f t="shared" si="5"/>
        <v>0.051842635383339254</v>
      </c>
      <c r="E23" s="21">
        <f>E9*$A$23</f>
        <v>0.05554568076786349</v>
      </c>
      <c r="F23" s="40">
        <f t="shared" si="6"/>
        <v>0.059248726152387715</v>
      </c>
      <c r="G23" s="47">
        <f t="shared" si="7"/>
        <v>0.061717423075403885</v>
      </c>
      <c r="H23" s="40">
        <f t="shared" si="8"/>
        <v>0.06418611999842004</v>
      </c>
      <c r="J23" s="33">
        <f t="shared" si="9"/>
        <v>0.4617956807678635</v>
      </c>
      <c r="L23" s="122"/>
    </row>
    <row r="24" spans="1:12" ht="15" hidden="1" outlineLevel="1">
      <c r="A24" s="43">
        <v>16</v>
      </c>
      <c r="B24" s="40">
        <f t="shared" si="3"/>
        <v>0.047398980921910173</v>
      </c>
      <c r="C24" s="40">
        <f t="shared" si="4"/>
        <v>0.05266553435767797</v>
      </c>
      <c r="D24" s="36">
        <f t="shared" si="5"/>
        <v>0.05529881107556187</v>
      </c>
      <c r="E24" s="21">
        <f>+A24*$E$9</f>
        <v>0.05924872615238772</v>
      </c>
      <c r="F24" s="40">
        <f t="shared" si="6"/>
        <v>0.06319864122921356</v>
      </c>
      <c r="G24" s="47">
        <f t="shared" si="7"/>
        <v>0.06583191794709747</v>
      </c>
      <c r="H24" s="40">
        <f t="shared" si="8"/>
        <v>0.06846519466498138</v>
      </c>
      <c r="J24" s="33">
        <f t="shared" si="9"/>
        <v>0.46549872615238774</v>
      </c>
      <c r="L24" s="122"/>
    </row>
    <row r="25" spans="1:12" ht="15" hidden="1" outlineLevel="1">
      <c r="A25" s="43">
        <v>17</v>
      </c>
      <c r="B25" s="40">
        <f t="shared" si="3"/>
        <v>0.05036141722952956</v>
      </c>
      <c r="C25" s="40">
        <f t="shared" si="4"/>
        <v>0.05595713025503284</v>
      </c>
      <c r="D25" s="36">
        <f t="shared" si="5"/>
        <v>0.05875498676778449</v>
      </c>
      <c r="E25" s="21">
        <f>+A25*$E$9</f>
        <v>0.06295177153691195</v>
      </c>
      <c r="F25" s="40">
        <f t="shared" si="6"/>
        <v>0.06714855630603941</v>
      </c>
      <c r="G25" s="47">
        <f t="shared" si="7"/>
        <v>0.06994641281879106</v>
      </c>
      <c r="H25" s="40">
        <f t="shared" si="8"/>
        <v>0.07274426933154272</v>
      </c>
      <c r="J25" s="33">
        <f t="shared" si="9"/>
        <v>0.46920177153691195</v>
      </c>
      <c r="L25" s="122"/>
    </row>
    <row r="26" spans="1:12" ht="15" hidden="1" outlineLevel="1">
      <c r="A26" s="43">
        <v>18</v>
      </c>
      <c r="B26" s="40">
        <f t="shared" si="3"/>
        <v>0.05332385353714895</v>
      </c>
      <c r="C26" s="40">
        <f t="shared" si="4"/>
        <v>0.059248726152387715</v>
      </c>
      <c r="D26" s="36">
        <f t="shared" si="5"/>
        <v>0.06221116246000711</v>
      </c>
      <c r="E26" s="21">
        <f>+A26*$E$9</f>
        <v>0.06665481692143618</v>
      </c>
      <c r="F26" s="40">
        <f t="shared" si="6"/>
        <v>0.07109847138286526</v>
      </c>
      <c r="G26" s="47">
        <f t="shared" si="7"/>
        <v>0.07406090769048465</v>
      </c>
      <c r="H26" s="40">
        <f t="shared" si="8"/>
        <v>0.07702334399810405</v>
      </c>
      <c r="J26" s="33">
        <f t="shared" si="9"/>
        <v>0.47290481692143616</v>
      </c>
      <c r="L26" s="122"/>
    </row>
    <row r="27" spans="1:12" ht="15" hidden="1" outlineLevel="1">
      <c r="A27" s="43">
        <v>19</v>
      </c>
      <c r="B27" s="40">
        <f t="shared" si="3"/>
        <v>0.05628628984476833</v>
      </c>
      <c r="C27" s="40">
        <f t="shared" si="4"/>
        <v>0.0625403220497426</v>
      </c>
      <c r="D27" s="36">
        <f t="shared" si="5"/>
        <v>0.06566733815222972</v>
      </c>
      <c r="E27" s="21">
        <f>+A27*$E$9</f>
        <v>0.07035786230596042</v>
      </c>
      <c r="F27" s="40">
        <f t="shared" si="6"/>
        <v>0.07504838645969111</v>
      </c>
      <c r="G27" s="47">
        <f t="shared" si="7"/>
        <v>0.07817540256217825</v>
      </c>
      <c r="H27" s="40">
        <f t="shared" si="8"/>
        <v>0.0813024186646654</v>
      </c>
      <c r="J27" s="33">
        <f t="shared" si="9"/>
        <v>0.4766078623059604</v>
      </c>
      <c r="L27" s="122"/>
    </row>
    <row r="28" spans="1:12" ht="15" collapsed="1">
      <c r="A28" s="43">
        <v>20</v>
      </c>
      <c r="B28" s="40">
        <f aca="true" t="shared" si="10" ref="B28:H28">B9*$A$28</f>
        <v>0.059248726152387715</v>
      </c>
      <c r="C28" s="40">
        <f t="shared" si="10"/>
        <v>0.06583191794709746</v>
      </c>
      <c r="D28" s="36">
        <f t="shared" si="10"/>
        <v>0.06912351384445234</v>
      </c>
      <c r="E28" s="21">
        <f t="shared" si="10"/>
        <v>0.07406090769048465</v>
      </c>
      <c r="F28" s="40">
        <f t="shared" si="10"/>
        <v>0.07899830153651696</v>
      </c>
      <c r="G28" s="47">
        <f t="shared" si="10"/>
        <v>0.08228989743387184</v>
      </c>
      <c r="H28" s="40">
        <f t="shared" si="10"/>
        <v>0.08558149333122672</v>
      </c>
      <c r="J28" s="33">
        <f aca="true" t="shared" si="11" ref="J28:J33">($J$4/$A$50/24/60)*A28+$J$3</f>
        <v>0.4803109076904847</v>
      </c>
      <c r="L28" s="122"/>
    </row>
    <row r="29" spans="1:12" ht="15">
      <c r="A29" s="43">
        <v>21.1</v>
      </c>
      <c r="B29" s="40">
        <f aca="true" t="shared" si="12" ref="B29:H29">+B50/2</f>
        <v>0.06249999999999999</v>
      </c>
      <c r="C29" s="40">
        <f t="shared" si="12"/>
        <v>0.06944444444444443</v>
      </c>
      <c r="D29" s="36">
        <f t="shared" si="12"/>
        <v>0.07291666666666666</v>
      </c>
      <c r="E29" s="21">
        <f t="shared" si="12"/>
        <v>0.078125</v>
      </c>
      <c r="F29" s="40">
        <f t="shared" si="12"/>
        <v>0.08333333333333333</v>
      </c>
      <c r="G29" s="47">
        <f t="shared" si="12"/>
        <v>0.08680555555555557</v>
      </c>
      <c r="H29" s="40">
        <f t="shared" si="12"/>
        <v>0.09027777777777779</v>
      </c>
      <c r="J29" s="33">
        <f t="shared" si="11"/>
        <v>0.4843842576134613</v>
      </c>
      <c r="L29" s="121"/>
    </row>
    <row r="30" spans="1:12" ht="15" hidden="1" outlineLevel="1">
      <c r="A30" s="43">
        <v>22</v>
      </c>
      <c r="B30" s="40">
        <f aca="true" t="shared" si="13" ref="B30:B49">+A30*$B$9</f>
        <v>0.06517359876762649</v>
      </c>
      <c r="C30" s="40">
        <f aca="true" t="shared" si="14" ref="C30:C49">+A30*$C$9</f>
        <v>0.0724151097418072</v>
      </c>
      <c r="D30" s="36">
        <f aca="true" t="shared" si="15" ref="D30:D49">+A30*$D$9</f>
        <v>0.07603586522889758</v>
      </c>
      <c r="E30" s="21">
        <f aca="true" t="shared" si="16" ref="E30:E49">+A30*$E$9</f>
        <v>0.08146699845953312</v>
      </c>
      <c r="F30" s="40">
        <f aca="true" t="shared" si="17" ref="F30:F49">+A30*$F$9</f>
        <v>0.08689813169016865</v>
      </c>
      <c r="G30" s="47">
        <f aca="true" t="shared" si="18" ref="G30:G49">+A30*$G$9</f>
        <v>0.09051888717725903</v>
      </c>
      <c r="H30" s="40">
        <f aca="true" t="shared" si="19" ref="H30:H49">+A30*$H$9</f>
        <v>0.0941396426643494</v>
      </c>
      <c r="J30" s="33">
        <f t="shared" si="11"/>
        <v>0.4877169984595331</v>
      </c>
      <c r="L30" s="121"/>
    </row>
    <row r="31" spans="1:12" ht="15" hidden="1" outlineLevel="1">
      <c r="A31" s="43">
        <v>23</v>
      </c>
      <c r="B31" s="40">
        <f t="shared" si="13"/>
        <v>0.06813603507524588</v>
      </c>
      <c r="C31" s="40">
        <f t="shared" si="14"/>
        <v>0.07570670563916208</v>
      </c>
      <c r="D31" s="36">
        <f t="shared" si="15"/>
        <v>0.0794920409211202</v>
      </c>
      <c r="E31" s="21">
        <f t="shared" si="16"/>
        <v>0.08517004384405735</v>
      </c>
      <c r="F31" s="40">
        <f t="shared" si="17"/>
        <v>0.0908480467669945</v>
      </c>
      <c r="G31" s="47">
        <f t="shared" si="18"/>
        <v>0.09463338204895262</v>
      </c>
      <c r="H31" s="40">
        <f t="shared" si="19"/>
        <v>0.09841871733091073</v>
      </c>
      <c r="J31" s="33">
        <f t="shared" si="11"/>
        <v>0.49142004384405735</v>
      </c>
      <c r="L31" s="121"/>
    </row>
    <row r="32" spans="1:12" ht="15" hidden="1" outlineLevel="1">
      <c r="A32" s="43">
        <v>24</v>
      </c>
      <c r="B32" s="40">
        <f t="shared" si="13"/>
        <v>0.07109847138286526</v>
      </c>
      <c r="C32" s="40">
        <f t="shared" si="14"/>
        <v>0.07899830153651696</v>
      </c>
      <c r="D32" s="36">
        <f t="shared" si="15"/>
        <v>0.08294821661334281</v>
      </c>
      <c r="E32" s="21">
        <f t="shared" si="16"/>
        <v>0.08887308922858159</v>
      </c>
      <c r="F32" s="40">
        <f t="shared" si="17"/>
        <v>0.09479796184382035</v>
      </c>
      <c r="G32" s="47">
        <f t="shared" si="18"/>
        <v>0.09874787692064621</v>
      </c>
      <c r="H32" s="40">
        <f t="shared" si="19"/>
        <v>0.10269779199747207</v>
      </c>
      <c r="J32" s="33">
        <f t="shared" si="11"/>
        <v>0.4951230892285816</v>
      </c>
      <c r="L32" s="121"/>
    </row>
    <row r="33" spans="1:10" ht="15" collapsed="1">
      <c r="A33" s="43">
        <v>25</v>
      </c>
      <c r="B33" s="40">
        <f t="shared" si="13"/>
        <v>0.07406090769048465</v>
      </c>
      <c r="C33" s="40">
        <f t="shared" si="14"/>
        <v>0.08228989743387183</v>
      </c>
      <c r="D33" s="36">
        <f t="shared" si="15"/>
        <v>0.08640439230556543</v>
      </c>
      <c r="E33" s="21">
        <f t="shared" si="16"/>
        <v>0.09257613461310582</v>
      </c>
      <c r="F33" s="40">
        <f t="shared" si="17"/>
        <v>0.0987478769206462</v>
      </c>
      <c r="G33" s="47">
        <f t="shared" si="18"/>
        <v>0.1028623717923398</v>
      </c>
      <c r="H33" s="40">
        <f t="shared" si="19"/>
        <v>0.10697686666403342</v>
      </c>
      <c r="J33" s="33">
        <f t="shared" si="11"/>
        <v>0.4988261346131058</v>
      </c>
    </row>
    <row r="34" spans="1:10" ht="15" hidden="1" outlineLevel="1">
      <c r="A34" s="43">
        <v>26</v>
      </c>
      <c r="B34" s="40">
        <f t="shared" si="13"/>
        <v>0.07702334399810404</v>
      </c>
      <c r="C34" s="40">
        <f t="shared" si="14"/>
        <v>0.08558149333122671</v>
      </c>
      <c r="D34" s="36">
        <f t="shared" si="15"/>
        <v>0.08986056799778805</v>
      </c>
      <c r="E34" s="21">
        <f t="shared" si="16"/>
        <v>0.09627917999763005</v>
      </c>
      <c r="F34" s="40">
        <f t="shared" si="17"/>
        <v>0.10269779199747205</v>
      </c>
      <c r="G34" s="47">
        <f t="shared" si="18"/>
        <v>0.10697686666403339</v>
      </c>
      <c r="H34" s="40">
        <f t="shared" si="19"/>
        <v>0.11125594133059474</v>
      </c>
      <c r="J34" s="33">
        <f aca="true" t="shared" si="20" ref="J34:J49">($J$4/$A$50/24/60)*A34+$J$3</f>
        <v>0.50252917999763</v>
      </c>
    </row>
    <row r="35" spans="1:10" ht="15" hidden="1" outlineLevel="1">
      <c r="A35" s="43">
        <v>27</v>
      </c>
      <c r="B35" s="40">
        <f t="shared" si="13"/>
        <v>0.07998578030572341</v>
      </c>
      <c r="C35" s="40">
        <f t="shared" si="14"/>
        <v>0.08887308922858157</v>
      </c>
      <c r="D35" s="36">
        <f t="shared" si="15"/>
        <v>0.09331674369001065</v>
      </c>
      <c r="E35" s="21">
        <f t="shared" si="16"/>
        <v>0.09998222538215427</v>
      </c>
      <c r="F35" s="40">
        <f t="shared" si="17"/>
        <v>0.1066477070742979</v>
      </c>
      <c r="G35" s="47">
        <f t="shared" si="18"/>
        <v>0.11109136153572699</v>
      </c>
      <c r="H35" s="40">
        <f t="shared" si="19"/>
        <v>0.11553501599715608</v>
      </c>
      <c r="J35" s="33">
        <f t="shared" si="20"/>
        <v>0.5062322253821543</v>
      </c>
    </row>
    <row r="36" spans="1:10" ht="15" hidden="1" outlineLevel="1">
      <c r="A36" s="43">
        <v>28</v>
      </c>
      <c r="B36" s="40">
        <f t="shared" si="13"/>
        <v>0.0829482166133428</v>
      </c>
      <c r="C36" s="40">
        <f t="shared" si="14"/>
        <v>0.09216468512593645</v>
      </c>
      <c r="D36" s="36">
        <f t="shared" si="15"/>
        <v>0.09677291938223327</v>
      </c>
      <c r="E36" s="21">
        <f t="shared" si="16"/>
        <v>0.10368527076667851</v>
      </c>
      <c r="F36" s="40">
        <f t="shared" si="17"/>
        <v>0.11059762215112373</v>
      </c>
      <c r="G36" s="47">
        <f t="shared" si="18"/>
        <v>0.11520585640742058</v>
      </c>
      <c r="H36" s="40">
        <f t="shared" si="19"/>
        <v>0.11981409066371743</v>
      </c>
      <c r="J36" s="33">
        <f t="shared" si="20"/>
        <v>0.5099352707666786</v>
      </c>
    </row>
    <row r="37" spans="1:10" ht="15" hidden="1" outlineLevel="1">
      <c r="A37" s="43">
        <v>29</v>
      </c>
      <c r="B37" s="40">
        <f t="shared" si="13"/>
        <v>0.08591065292096219</v>
      </c>
      <c r="C37" s="40">
        <f t="shared" si="14"/>
        <v>0.09545628102329132</v>
      </c>
      <c r="D37" s="36">
        <f t="shared" si="15"/>
        <v>0.10022909507445589</v>
      </c>
      <c r="E37" s="21">
        <f t="shared" si="16"/>
        <v>0.10738831615120274</v>
      </c>
      <c r="F37" s="40">
        <f t="shared" si="17"/>
        <v>0.11454753722794958</v>
      </c>
      <c r="G37" s="47">
        <f t="shared" si="18"/>
        <v>0.11932035127911417</v>
      </c>
      <c r="H37" s="40">
        <f t="shared" si="19"/>
        <v>0.12409316533027875</v>
      </c>
      <c r="J37" s="33">
        <f t="shared" si="20"/>
        <v>0.5136383161512027</v>
      </c>
    </row>
    <row r="38" spans="1:10" ht="15" collapsed="1">
      <c r="A38" s="43">
        <v>30</v>
      </c>
      <c r="B38" s="40">
        <f t="shared" si="13"/>
        <v>0.08887308922858157</v>
      </c>
      <c r="C38" s="40">
        <f t="shared" si="14"/>
        <v>0.0987478769206462</v>
      </c>
      <c r="D38" s="36">
        <f t="shared" si="15"/>
        <v>0.10368527076667851</v>
      </c>
      <c r="E38" s="21">
        <f t="shared" si="16"/>
        <v>0.11109136153572698</v>
      </c>
      <c r="F38" s="40">
        <f t="shared" si="17"/>
        <v>0.11849745230477543</v>
      </c>
      <c r="G38" s="47">
        <f t="shared" si="18"/>
        <v>0.12343484615080777</v>
      </c>
      <c r="H38" s="40">
        <f t="shared" si="19"/>
        <v>0.12837223999684008</v>
      </c>
      <c r="J38" s="33">
        <f t="shared" si="20"/>
        <v>0.517341361535727</v>
      </c>
    </row>
    <row r="39" spans="1:10" ht="15" hidden="1" outlineLevel="1">
      <c r="A39" s="43">
        <v>31</v>
      </c>
      <c r="B39" s="40">
        <f t="shared" si="13"/>
        <v>0.09183552553620096</v>
      </c>
      <c r="C39" s="40">
        <f t="shared" si="14"/>
        <v>0.10203947281800106</v>
      </c>
      <c r="D39" s="36">
        <f t="shared" si="15"/>
        <v>0.10714144645890113</v>
      </c>
      <c r="E39" s="21">
        <f t="shared" si="16"/>
        <v>0.11479440692025121</v>
      </c>
      <c r="F39" s="40">
        <f t="shared" si="17"/>
        <v>0.12244736738160128</v>
      </c>
      <c r="G39" s="47">
        <f t="shared" si="18"/>
        <v>0.12754934102250134</v>
      </c>
      <c r="H39" s="40">
        <f t="shared" si="19"/>
        <v>0.13265131466340144</v>
      </c>
      <c r="J39" s="33">
        <f t="shared" si="20"/>
        <v>0.5210444069202512</v>
      </c>
    </row>
    <row r="40" spans="1:10" ht="15" hidden="1" outlineLevel="1">
      <c r="A40" s="43">
        <v>32</v>
      </c>
      <c r="B40" s="40">
        <f t="shared" si="13"/>
        <v>0.09479796184382035</v>
      </c>
      <c r="C40" s="40">
        <f t="shared" si="14"/>
        <v>0.10533106871535594</v>
      </c>
      <c r="D40" s="36">
        <f t="shared" si="15"/>
        <v>0.11059762215112375</v>
      </c>
      <c r="E40" s="21">
        <f t="shared" si="16"/>
        <v>0.11849745230477544</v>
      </c>
      <c r="F40" s="40">
        <f t="shared" si="17"/>
        <v>0.12639728245842713</v>
      </c>
      <c r="G40" s="47">
        <f t="shared" si="18"/>
        <v>0.13166383589419495</v>
      </c>
      <c r="H40" s="40">
        <f t="shared" si="19"/>
        <v>0.13693038932996277</v>
      </c>
      <c r="J40" s="33">
        <f t="shared" si="20"/>
        <v>0.5247474523047755</v>
      </c>
    </row>
    <row r="41" spans="1:10" ht="15" hidden="1" outlineLevel="1">
      <c r="A41" s="43">
        <v>33</v>
      </c>
      <c r="B41" s="40">
        <f t="shared" si="13"/>
        <v>0.09776039815143973</v>
      </c>
      <c r="C41" s="40">
        <f t="shared" si="14"/>
        <v>0.10862266461271082</v>
      </c>
      <c r="D41" s="36">
        <f t="shared" si="15"/>
        <v>0.11405379784334636</v>
      </c>
      <c r="E41" s="21">
        <f t="shared" si="16"/>
        <v>0.12220049768929968</v>
      </c>
      <c r="F41" s="40">
        <f t="shared" si="17"/>
        <v>0.13034719753525298</v>
      </c>
      <c r="G41" s="47">
        <f t="shared" si="18"/>
        <v>0.13577833076588855</v>
      </c>
      <c r="H41" s="40">
        <f t="shared" si="19"/>
        <v>0.1412094639965241</v>
      </c>
      <c r="J41" s="33">
        <f t="shared" si="20"/>
        <v>0.5284504976892996</v>
      </c>
    </row>
    <row r="42" spans="1:10" ht="15" hidden="1" outlineLevel="1">
      <c r="A42" s="43">
        <v>34</v>
      </c>
      <c r="B42" s="40">
        <f t="shared" si="13"/>
        <v>0.10072283445905912</v>
      </c>
      <c r="C42" s="40">
        <f t="shared" si="14"/>
        <v>0.11191426051006569</v>
      </c>
      <c r="D42" s="36">
        <f t="shared" si="15"/>
        <v>0.11750997353556898</v>
      </c>
      <c r="E42" s="21">
        <f t="shared" si="16"/>
        <v>0.1259035430738239</v>
      </c>
      <c r="F42" s="40">
        <f t="shared" si="17"/>
        <v>0.13429711261207883</v>
      </c>
      <c r="G42" s="47">
        <f t="shared" si="18"/>
        <v>0.13989282563758212</v>
      </c>
      <c r="H42" s="40">
        <f t="shared" si="19"/>
        <v>0.14548853866308545</v>
      </c>
      <c r="J42" s="33">
        <f t="shared" si="20"/>
        <v>0.5321535430738239</v>
      </c>
    </row>
    <row r="43" spans="1:10" ht="15" collapsed="1">
      <c r="A43" s="43">
        <v>35</v>
      </c>
      <c r="B43" s="40">
        <f t="shared" si="13"/>
        <v>0.10368527076667851</v>
      </c>
      <c r="C43" s="40">
        <f t="shared" si="14"/>
        <v>0.11520585640742056</v>
      </c>
      <c r="D43" s="36">
        <f t="shared" si="15"/>
        <v>0.1209661492277916</v>
      </c>
      <c r="E43" s="21">
        <f t="shared" si="16"/>
        <v>0.12960658845834813</v>
      </c>
      <c r="F43" s="40">
        <f t="shared" si="17"/>
        <v>0.13824702768890468</v>
      </c>
      <c r="G43" s="47">
        <f t="shared" si="18"/>
        <v>0.14400732050927573</v>
      </c>
      <c r="H43" s="40">
        <f t="shared" si="19"/>
        <v>0.14976761332964678</v>
      </c>
      <c r="J43" s="33">
        <f t="shared" si="20"/>
        <v>0.5358565884583482</v>
      </c>
    </row>
    <row r="44" spans="1:10" ht="15" hidden="1" outlineLevel="1">
      <c r="A44" s="43">
        <v>36</v>
      </c>
      <c r="B44" s="40">
        <f t="shared" si="13"/>
        <v>0.1066477070742979</v>
      </c>
      <c r="C44" s="40">
        <f t="shared" si="14"/>
        <v>0.11849745230477543</v>
      </c>
      <c r="D44" s="36">
        <f t="shared" si="15"/>
        <v>0.12442232492001422</v>
      </c>
      <c r="E44" s="21">
        <f t="shared" si="16"/>
        <v>0.13330963384287237</v>
      </c>
      <c r="F44" s="40">
        <f t="shared" si="17"/>
        <v>0.14219694276573053</v>
      </c>
      <c r="G44" s="47">
        <f t="shared" si="18"/>
        <v>0.1481218153809693</v>
      </c>
      <c r="H44" s="40">
        <f t="shared" si="19"/>
        <v>0.1540466879962081</v>
      </c>
      <c r="J44" s="33">
        <f t="shared" si="20"/>
        <v>0.5395596338428723</v>
      </c>
    </row>
    <row r="45" spans="1:10" ht="15" hidden="1" outlineLevel="1">
      <c r="A45" s="43">
        <v>37</v>
      </c>
      <c r="B45" s="40">
        <f t="shared" si="13"/>
        <v>0.10961014338191728</v>
      </c>
      <c r="C45" s="40">
        <f t="shared" si="14"/>
        <v>0.12178904820213031</v>
      </c>
      <c r="D45" s="36">
        <f t="shared" si="15"/>
        <v>0.12787850061223682</v>
      </c>
      <c r="E45" s="21">
        <f t="shared" si="16"/>
        <v>0.1370126792273966</v>
      </c>
      <c r="F45" s="40">
        <f t="shared" si="17"/>
        <v>0.14614685784255638</v>
      </c>
      <c r="G45" s="47">
        <f t="shared" si="18"/>
        <v>0.1522363102526629</v>
      </c>
      <c r="H45" s="40">
        <f t="shared" si="19"/>
        <v>0.15832576266276946</v>
      </c>
      <c r="J45" s="33">
        <f t="shared" si="20"/>
        <v>0.5432626792273966</v>
      </c>
    </row>
    <row r="46" spans="1:10" ht="15" hidden="1" outlineLevel="1">
      <c r="A46" s="43">
        <v>38</v>
      </c>
      <c r="B46" s="40">
        <f t="shared" si="13"/>
        <v>0.11257257968953666</v>
      </c>
      <c r="C46" s="40">
        <f t="shared" si="14"/>
        <v>0.1250806440994852</v>
      </c>
      <c r="D46" s="36">
        <f t="shared" si="15"/>
        <v>0.13133467630445944</v>
      </c>
      <c r="E46" s="21">
        <f t="shared" si="16"/>
        <v>0.14071572461192083</v>
      </c>
      <c r="F46" s="40">
        <f t="shared" si="17"/>
        <v>0.15009677291938223</v>
      </c>
      <c r="G46" s="47">
        <f t="shared" si="18"/>
        <v>0.1563508051243565</v>
      </c>
      <c r="H46" s="40">
        <f t="shared" si="19"/>
        <v>0.1626048373293308</v>
      </c>
      <c r="J46" s="33">
        <f t="shared" si="20"/>
        <v>0.5469657246119208</v>
      </c>
    </row>
    <row r="47" spans="1:10" ht="15" hidden="1" outlineLevel="1">
      <c r="A47" s="43">
        <v>39</v>
      </c>
      <c r="B47" s="40">
        <f t="shared" si="13"/>
        <v>0.11553501599715604</v>
      </c>
      <c r="C47" s="40">
        <f t="shared" si="14"/>
        <v>0.12837223999684005</v>
      </c>
      <c r="D47" s="36">
        <f t="shared" si="15"/>
        <v>0.13479085199668206</v>
      </c>
      <c r="E47" s="21">
        <f t="shared" si="16"/>
        <v>0.14441876999644507</v>
      </c>
      <c r="F47" s="40">
        <f t="shared" si="17"/>
        <v>0.15404668799620808</v>
      </c>
      <c r="G47" s="47">
        <f t="shared" si="18"/>
        <v>0.16046529999605008</v>
      </c>
      <c r="H47" s="40">
        <f t="shared" si="19"/>
        <v>0.16688391199589211</v>
      </c>
      <c r="J47" s="33">
        <f t="shared" si="20"/>
        <v>0.5506687699964451</v>
      </c>
    </row>
    <row r="48" spans="1:10" ht="15" collapsed="1">
      <c r="A48" s="43">
        <v>40</v>
      </c>
      <c r="B48" s="40">
        <f t="shared" si="13"/>
        <v>0.11849745230477543</v>
      </c>
      <c r="C48" s="40">
        <f t="shared" si="14"/>
        <v>0.13166383589419492</v>
      </c>
      <c r="D48" s="36">
        <f t="shared" si="15"/>
        <v>0.13824702768890468</v>
      </c>
      <c r="E48" s="21">
        <f t="shared" si="16"/>
        <v>0.1481218153809693</v>
      </c>
      <c r="F48" s="40">
        <f t="shared" si="17"/>
        <v>0.15799660307303393</v>
      </c>
      <c r="G48" s="47">
        <f t="shared" si="18"/>
        <v>0.16457979486774368</v>
      </c>
      <c r="H48" s="40">
        <f t="shared" si="19"/>
        <v>0.17116298666245344</v>
      </c>
      <c r="J48" s="33">
        <f t="shared" si="20"/>
        <v>0.5543718153809694</v>
      </c>
    </row>
    <row r="49" spans="1:10" ht="15" hidden="1" outlineLevel="1">
      <c r="A49" s="43">
        <v>41</v>
      </c>
      <c r="B49" s="40">
        <f t="shared" si="13"/>
        <v>0.12145988861239482</v>
      </c>
      <c r="C49" s="40">
        <f t="shared" si="14"/>
        <v>0.1349554317915498</v>
      </c>
      <c r="D49" s="36">
        <f t="shared" si="15"/>
        <v>0.1417032033811273</v>
      </c>
      <c r="E49" s="21">
        <f t="shared" si="16"/>
        <v>0.15182486076549354</v>
      </c>
      <c r="F49" s="40">
        <f t="shared" si="17"/>
        <v>0.16194651814985975</v>
      </c>
      <c r="G49" s="47">
        <f t="shared" si="18"/>
        <v>0.1686942897394373</v>
      </c>
      <c r="H49" s="40">
        <f t="shared" si="19"/>
        <v>0.1754420613290148</v>
      </c>
      <c r="J49" s="33">
        <f t="shared" si="20"/>
        <v>0.5580748607654935</v>
      </c>
    </row>
    <row r="50" spans="1:10" ht="15.75" collapsed="1" thickBot="1">
      <c r="A50" s="44">
        <f>+F2</f>
        <v>42.195</v>
      </c>
      <c r="B50" s="41">
        <f aca="true" t="shared" si="21" ref="B50:H50">B9*$A$50</f>
        <v>0.12499999999999999</v>
      </c>
      <c r="C50" s="41">
        <f t="shared" si="21"/>
        <v>0.13888888888888887</v>
      </c>
      <c r="D50" s="37">
        <f t="shared" si="21"/>
        <v>0.14583333333333331</v>
      </c>
      <c r="E50" s="57">
        <f t="shared" si="21"/>
        <v>0.15625</v>
      </c>
      <c r="F50" s="41">
        <f t="shared" si="21"/>
        <v>0.16666666666666666</v>
      </c>
      <c r="G50" s="48">
        <f t="shared" si="21"/>
        <v>0.17361111111111113</v>
      </c>
      <c r="H50" s="41">
        <f t="shared" si="21"/>
        <v>0.18055555555555558</v>
      </c>
      <c r="J50" s="34">
        <f>($J$4/$A$50/24/60)*A50+$J$3</f>
        <v>0.5625</v>
      </c>
    </row>
    <row r="51" spans="1:10" ht="8.25" customHeight="1" thickBot="1">
      <c r="A51" s="52"/>
      <c r="B51" s="38"/>
      <c r="C51" s="38"/>
      <c r="D51" s="38"/>
      <c r="E51" s="38"/>
      <c r="F51" s="38"/>
      <c r="G51" s="38"/>
      <c r="H51" s="38"/>
      <c r="I51" s="52"/>
      <c r="J51" s="53"/>
    </row>
    <row r="52" spans="1:10" ht="15">
      <c r="A52" s="45" t="s">
        <v>46</v>
      </c>
      <c r="B52" s="42"/>
      <c r="C52" s="42"/>
      <c r="D52" s="39"/>
      <c r="E52" s="58"/>
      <c r="F52" s="42"/>
      <c r="G52" s="49"/>
      <c r="H52" s="42"/>
      <c r="J52" s="32"/>
    </row>
    <row r="53" spans="1:10" ht="15">
      <c r="A53" s="43">
        <v>1</v>
      </c>
      <c r="B53" s="40">
        <f aca="true" t="shared" si="22" ref="B53:H53">B4/$A$79/24/60</f>
        <v>0.004766560018959592</v>
      </c>
      <c r="C53" s="40">
        <f t="shared" si="22"/>
        <v>0.005296177798843992</v>
      </c>
      <c r="D53" s="36">
        <f t="shared" si="22"/>
        <v>0.005560986688786191</v>
      </c>
      <c r="E53" s="21">
        <f t="shared" si="22"/>
        <v>0.00595820002369949</v>
      </c>
      <c r="F53" s="40">
        <f t="shared" si="22"/>
        <v>0.00635541335861279</v>
      </c>
      <c r="G53" s="47">
        <f t="shared" si="22"/>
        <v>0.006620222248554989</v>
      </c>
      <c r="H53" s="40">
        <f t="shared" si="22"/>
        <v>0.006885031138497188</v>
      </c>
      <c r="J53" s="33">
        <f aca="true" t="shared" si="23" ref="J53:J79">($J$4/$A$79/24/60)*A53+$J$3</f>
        <v>0.4122082000236995</v>
      </c>
    </row>
    <row r="54" spans="1:10" ht="15" hidden="1" outlineLevel="1">
      <c r="A54" s="43">
        <v>2</v>
      </c>
      <c r="B54" s="40">
        <f>B53*$A$54</f>
        <v>0.009533120037919184</v>
      </c>
      <c r="C54" s="40">
        <f aca="true" t="shared" si="24" ref="C54:H54">C53*$A$54</f>
        <v>0.010592355597687984</v>
      </c>
      <c r="D54" s="36">
        <f t="shared" si="24"/>
        <v>0.011121973377572382</v>
      </c>
      <c r="E54" s="21">
        <f t="shared" si="24"/>
        <v>0.01191640004739898</v>
      </c>
      <c r="F54" s="40">
        <f t="shared" si="24"/>
        <v>0.01271082671722558</v>
      </c>
      <c r="G54" s="40">
        <f t="shared" si="24"/>
        <v>0.013240444497109979</v>
      </c>
      <c r="H54" s="40">
        <f t="shared" si="24"/>
        <v>0.013770062276994377</v>
      </c>
      <c r="J54" s="33">
        <f t="shared" si="23"/>
        <v>0.41816640004739897</v>
      </c>
    </row>
    <row r="55" spans="1:10" ht="15" hidden="1" outlineLevel="1">
      <c r="A55" s="43">
        <v>3</v>
      </c>
      <c r="B55" s="40">
        <f>B53*$A$55</f>
        <v>0.014299680056878776</v>
      </c>
      <c r="C55" s="40">
        <f aca="true" t="shared" si="25" ref="C55:H55">C53*$A$55</f>
        <v>0.015888533396531977</v>
      </c>
      <c r="D55" s="36">
        <f t="shared" si="25"/>
        <v>0.01668296006635857</v>
      </c>
      <c r="E55" s="21">
        <f t="shared" si="25"/>
        <v>0.01787460007109847</v>
      </c>
      <c r="F55" s="40">
        <f t="shared" si="25"/>
        <v>0.019066240075838372</v>
      </c>
      <c r="G55" s="40">
        <f t="shared" si="25"/>
        <v>0.019860666745664966</v>
      </c>
      <c r="H55" s="40">
        <f t="shared" si="25"/>
        <v>0.020655093415491564</v>
      </c>
      <c r="J55" s="33">
        <f t="shared" si="23"/>
        <v>0.4241246000710985</v>
      </c>
    </row>
    <row r="56" spans="1:10" ht="15" hidden="1" outlineLevel="1">
      <c r="A56" s="43">
        <v>4</v>
      </c>
      <c r="B56" s="40">
        <f>B53*$A$56</f>
        <v>0.01906624007583837</v>
      </c>
      <c r="C56" s="40">
        <f aca="true" t="shared" si="26" ref="C56:H56">C53*$A$56</f>
        <v>0.021184711195375967</v>
      </c>
      <c r="D56" s="36">
        <f t="shared" si="26"/>
        <v>0.022243946755144763</v>
      </c>
      <c r="E56" s="21">
        <f t="shared" si="26"/>
        <v>0.02383280009479796</v>
      </c>
      <c r="F56" s="40">
        <f t="shared" si="26"/>
        <v>0.02542165343445116</v>
      </c>
      <c r="G56" s="40">
        <f t="shared" si="26"/>
        <v>0.026480888994219957</v>
      </c>
      <c r="H56" s="40">
        <f t="shared" si="26"/>
        <v>0.027540124553988753</v>
      </c>
      <c r="J56" s="33">
        <f t="shared" si="23"/>
        <v>0.43008280009479793</v>
      </c>
    </row>
    <row r="57" spans="1:10" ht="15" collapsed="1">
      <c r="A57" s="64">
        <v>5</v>
      </c>
      <c r="B57" s="60">
        <f aca="true" t="shared" si="27" ref="B57:H57">B53*$A$57</f>
        <v>0.023832800094797962</v>
      </c>
      <c r="C57" s="61">
        <f t="shared" si="27"/>
        <v>0.026480888994219957</v>
      </c>
      <c r="D57" s="62">
        <f t="shared" si="27"/>
        <v>0.027804933443930955</v>
      </c>
      <c r="E57" s="63">
        <f t="shared" si="27"/>
        <v>0.02979100011849745</v>
      </c>
      <c r="F57" s="61">
        <f t="shared" si="27"/>
        <v>0.031777066793063954</v>
      </c>
      <c r="G57" s="60">
        <f t="shared" si="27"/>
        <v>0.03310111124277495</v>
      </c>
      <c r="H57" s="61">
        <f t="shared" si="27"/>
        <v>0.03442515569248594</v>
      </c>
      <c r="I57" s="65"/>
      <c r="J57" s="34">
        <f t="shared" si="23"/>
        <v>0.43604100011849745</v>
      </c>
    </row>
    <row r="58" spans="1:10" ht="15" hidden="1" outlineLevel="1">
      <c r="A58" s="43">
        <v>6</v>
      </c>
      <c r="B58" s="40">
        <f>B53*$A$58</f>
        <v>0.028599360113757553</v>
      </c>
      <c r="C58" s="40">
        <f aca="true" t="shared" si="28" ref="C58:H58">C53*$A$58</f>
        <v>0.031777066793063954</v>
      </c>
      <c r="D58" s="36">
        <f t="shared" si="28"/>
        <v>0.03336592013271714</v>
      </c>
      <c r="E58" s="21">
        <f t="shared" si="28"/>
        <v>0.03574920014219694</v>
      </c>
      <c r="F58" s="40">
        <f t="shared" si="28"/>
        <v>0.038132480151676744</v>
      </c>
      <c r="G58" s="40">
        <f t="shared" si="28"/>
        <v>0.03972133349132993</v>
      </c>
      <c r="H58" s="40">
        <f t="shared" si="28"/>
        <v>0.04131018683098313</v>
      </c>
      <c r="I58" s="65"/>
      <c r="J58" s="33">
        <f t="shared" si="23"/>
        <v>0.44199920014219696</v>
      </c>
    </row>
    <row r="59" spans="1:10" ht="15" hidden="1" outlineLevel="1">
      <c r="A59" s="43">
        <v>7</v>
      </c>
      <c r="B59" s="40">
        <f>B53*$A$59</f>
        <v>0.03336592013271714</v>
      </c>
      <c r="C59" s="40">
        <f aca="true" t="shared" si="29" ref="C59:H59">C53*$A$59</f>
        <v>0.037073244591907945</v>
      </c>
      <c r="D59" s="36">
        <f t="shared" si="29"/>
        <v>0.038926906821503335</v>
      </c>
      <c r="E59" s="21">
        <f t="shared" si="29"/>
        <v>0.04170740016589643</v>
      </c>
      <c r="F59" s="40">
        <f t="shared" si="29"/>
        <v>0.04448789351028953</v>
      </c>
      <c r="G59" s="40">
        <f t="shared" si="29"/>
        <v>0.046341555739884924</v>
      </c>
      <c r="H59" s="40">
        <f t="shared" si="29"/>
        <v>0.04819521796948032</v>
      </c>
      <c r="I59" s="65"/>
      <c r="J59" s="33">
        <f t="shared" si="23"/>
        <v>0.4479574001658964</v>
      </c>
    </row>
    <row r="60" spans="1:10" ht="15" hidden="1" outlineLevel="1">
      <c r="A60" s="43">
        <v>8</v>
      </c>
      <c r="B60" s="40">
        <f>B53*$A$60</f>
        <v>0.03813248015167674</v>
      </c>
      <c r="C60" s="40">
        <f aca="true" t="shared" si="30" ref="C60:H60">C53*$A$60</f>
        <v>0.042369422390751935</v>
      </c>
      <c r="D60" s="36">
        <f t="shared" si="30"/>
        <v>0.044487893510289526</v>
      </c>
      <c r="E60" s="21">
        <f t="shared" si="30"/>
        <v>0.04766560018959592</v>
      </c>
      <c r="F60" s="40">
        <f t="shared" si="30"/>
        <v>0.05084330686890232</v>
      </c>
      <c r="G60" s="40">
        <f t="shared" si="30"/>
        <v>0.052961777988439915</v>
      </c>
      <c r="H60" s="40">
        <f t="shared" si="30"/>
        <v>0.05508024910797751</v>
      </c>
      <c r="I60" s="65"/>
      <c r="J60" s="33">
        <f t="shared" si="23"/>
        <v>0.4539156001895959</v>
      </c>
    </row>
    <row r="61" spans="1:10" ht="15" hidden="1" outlineLevel="1">
      <c r="A61" s="43">
        <v>9</v>
      </c>
      <c r="B61" s="40">
        <f>B53*$A$61</f>
        <v>0.04289904017063633</v>
      </c>
      <c r="C61" s="40">
        <f aca="true" t="shared" si="31" ref="C61:H61">C53*$A$61</f>
        <v>0.047665600189595925</v>
      </c>
      <c r="D61" s="36">
        <f t="shared" si="31"/>
        <v>0.05004888019907572</v>
      </c>
      <c r="E61" s="21">
        <f t="shared" si="31"/>
        <v>0.05362380021329541</v>
      </c>
      <c r="F61" s="40">
        <f t="shared" si="31"/>
        <v>0.05719872022751511</v>
      </c>
      <c r="G61" s="40">
        <f t="shared" si="31"/>
        <v>0.059582000236994906</v>
      </c>
      <c r="H61" s="40">
        <f t="shared" si="31"/>
        <v>0.06196528024647469</v>
      </c>
      <c r="I61" s="65"/>
      <c r="J61" s="33">
        <f t="shared" si="23"/>
        <v>0.4598738002132954</v>
      </c>
    </row>
    <row r="62" spans="1:10" ht="15" collapsed="1">
      <c r="A62" s="64">
        <v>10</v>
      </c>
      <c r="B62" s="61">
        <f aca="true" t="shared" si="32" ref="B62:H62">B53*$A$62</f>
        <v>0.047665600189595925</v>
      </c>
      <c r="C62" s="61">
        <f t="shared" si="32"/>
        <v>0.052961777988439915</v>
      </c>
      <c r="D62" s="62">
        <f t="shared" si="32"/>
        <v>0.05560986688786191</v>
      </c>
      <c r="E62" s="63">
        <f t="shared" si="32"/>
        <v>0.0595820002369949</v>
      </c>
      <c r="F62" s="61">
        <f t="shared" si="32"/>
        <v>0.06355413358612791</v>
      </c>
      <c r="G62" s="60">
        <f t="shared" si="32"/>
        <v>0.0662022224855499</v>
      </c>
      <c r="H62" s="61">
        <f t="shared" si="32"/>
        <v>0.06885031138497189</v>
      </c>
      <c r="I62" s="65"/>
      <c r="J62" s="34">
        <f t="shared" si="23"/>
        <v>0.4658320002369949</v>
      </c>
    </row>
    <row r="63" spans="1:10" ht="15" hidden="1" outlineLevel="1">
      <c r="A63" s="43">
        <v>11</v>
      </c>
      <c r="B63" s="40">
        <f>B53*$A$63</f>
        <v>0.05243216020855551</v>
      </c>
      <c r="C63" s="40">
        <f aca="true" t="shared" si="33" ref="C63:H63">C53*$A$63</f>
        <v>0.05825795578728391</v>
      </c>
      <c r="D63" s="36">
        <f t="shared" si="33"/>
        <v>0.0611708535766481</v>
      </c>
      <c r="E63" s="21">
        <f t="shared" si="33"/>
        <v>0.06554020026069439</v>
      </c>
      <c r="F63" s="40">
        <f t="shared" si="33"/>
        <v>0.06990954694474069</v>
      </c>
      <c r="G63" s="40">
        <f t="shared" si="33"/>
        <v>0.07282244473410489</v>
      </c>
      <c r="H63" s="40">
        <f t="shared" si="33"/>
        <v>0.07573534252346907</v>
      </c>
      <c r="I63" s="65"/>
      <c r="J63" s="33">
        <f t="shared" si="23"/>
        <v>0.4717902002606944</v>
      </c>
    </row>
    <row r="64" spans="1:10" ht="15" hidden="1" outlineLevel="1">
      <c r="A64" s="43">
        <v>12</v>
      </c>
      <c r="B64" s="40">
        <f>B53*$A$64</f>
        <v>0.057198720227515105</v>
      </c>
      <c r="C64" s="40">
        <f aca="true" t="shared" si="34" ref="C64:H64">C53*$A$64</f>
        <v>0.06355413358612791</v>
      </c>
      <c r="D64" s="36">
        <f t="shared" si="34"/>
        <v>0.06673184026543429</v>
      </c>
      <c r="E64" s="21">
        <f t="shared" si="34"/>
        <v>0.07149840028439387</v>
      </c>
      <c r="F64" s="40">
        <f t="shared" si="34"/>
        <v>0.07626496030335349</v>
      </c>
      <c r="G64" s="40">
        <f t="shared" si="34"/>
        <v>0.07944266698265987</v>
      </c>
      <c r="H64" s="40">
        <f t="shared" si="34"/>
        <v>0.08262037366196626</v>
      </c>
      <c r="I64" s="65"/>
      <c r="J64" s="33">
        <f t="shared" si="23"/>
        <v>0.47774840028439386</v>
      </c>
    </row>
    <row r="65" spans="1:10" ht="15" hidden="1" outlineLevel="1">
      <c r="A65" s="43">
        <v>13</v>
      </c>
      <c r="B65" s="40">
        <f>B53*$A$65</f>
        <v>0.0619652802464747</v>
      </c>
      <c r="C65" s="40">
        <f aca="true" t="shared" si="35" ref="C65:H65">C53*$A$65</f>
        <v>0.0688503113849719</v>
      </c>
      <c r="D65" s="36">
        <f t="shared" si="35"/>
        <v>0.07229282695422048</v>
      </c>
      <c r="E65" s="21">
        <f t="shared" si="35"/>
        <v>0.07745660030809337</v>
      </c>
      <c r="F65" s="40">
        <f t="shared" si="35"/>
        <v>0.08262037366196627</v>
      </c>
      <c r="G65" s="40">
        <f t="shared" si="35"/>
        <v>0.08606288923121486</v>
      </c>
      <c r="H65" s="40">
        <f t="shared" si="35"/>
        <v>0.08950540480046344</v>
      </c>
      <c r="I65" s="65"/>
      <c r="J65" s="33">
        <f t="shared" si="23"/>
        <v>0.48370660030809337</v>
      </c>
    </row>
    <row r="66" spans="1:10" ht="15" hidden="1" outlineLevel="1">
      <c r="A66" s="59">
        <f>F1/2</f>
        <v>13.112181479179615</v>
      </c>
      <c r="B66" s="40">
        <f>B53*$A$66</f>
        <v>0.0625</v>
      </c>
      <c r="C66" s="40">
        <f aca="true" t="shared" si="36" ref="C66:H66">C53*$A$66</f>
        <v>0.06944444444444445</v>
      </c>
      <c r="D66" s="36">
        <f t="shared" si="36"/>
        <v>0.07291666666666666</v>
      </c>
      <c r="E66" s="21">
        <f t="shared" si="36"/>
        <v>0.07812499999999999</v>
      </c>
      <c r="F66" s="40">
        <f t="shared" si="36"/>
        <v>0.08333333333333334</v>
      </c>
      <c r="G66" s="40">
        <f t="shared" si="36"/>
        <v>0.08680555555555555</v>
      </c>
      <c r="H66" s="40">
        <f t="shared" si="36"/>
        <v>0.09027777777777778</v>
      </c>
      <c r="I66" s="65"/>
      <c r="J66" s="33">
        <f t="shared" si="23"/>
        <v>0.484375</v>
      </c>
    </row>
    <row r="67" spans="1:10" ht="15" hidden="1" outlineLevel="1">
      <c r="A67" s="43">
        <v>14</v>
      </c>
      <c r="B67" s="40">
        <f>B53*$A$67</f>
        <v>0.06673184026543429</v>
      </c>
      <c r="C67" s="40">
        <f aca="true" t="shared" si="37" ref="C67:H67">C53*$A$67</f>
        <v>0.07414648918381589</v>
      </c>
      <c r="D67" s="36">
        <f t="shared" si="37"/>
        <v>0.07785381364300667</v>
      </c>
      <c r="E67" s="21">
        <f t="shared" si="37"/>
        <v>0.08341480033179285</v>
      </c>
      <c r="F67" s="40">
        <f t="shared" si="37"/>
        <v>0.08897578702057907</v>
      </c>
      <c r="G67" s="40">
        <f t="shared" si="37"/>
        <v>0.09268311147976985</v>
      </c>
      <c r="H67" s="40">
        <f t="shared" si="37"/>
        <v>0.09639043593896064</v>
      </c>
      <c r="I67" s="65"/>
      <c r="J67" s="33">
        <f t="shared" si="23"/>
        <v>0.4896648003317928</v>
      </c>
    </row>
    <row r="68" spans="1:10" ht="15" collapsed="1">
      <c r="A68" s="64">
        <v>15</v>
      </c>
      <c r="B68" s="61">
        <f aca="true" t="shared" si="38" ref="B68:H68">B53*$A$68</f>
        <v>0.07149840028439389</v>
      </c>
      <c r="C68" s="61">
        <f t="shared" si="38"/>
        <v>0.07944266698265988</v>
      </c>
      <c r="D68" s="62">
        <f t="shared" si="38"/>
        <v>0.08341480033179287</v>
      </c>
      <c r="E68" s="63">
        <f t="shared" si="38"/>
        <v>0.08937300035549235</v>
      </c>
      <c r="F68" s="61">
        <f t="shared" si="38"/>
        <v>0.09533120037919185</v>
      </c>
      <c r="G68" s="60">
        <f t="shared" si="38"/>
        <v>0.09930333372832484</v>
      </c>
      <c r="H68" s="61">
        <f t="shared" si="38"/>
        <v>0.10327546707745783</v>
      </c>
      <c r="I68" s="65"/>
      <c r="J68" s="34">
        <f t="shared" si="23"/>
        <v>0.49562300035549234</v>
      </c>
    </row>
    <row r="69" spans="1:10" ht="15" hidden="1" outlineLevel="1">
      <c r="A69" s="43">
        <v>16</v>
      </c>
      <c r="B69" s="40">
        <f>B53*$A$69</f>
        <v>0.07626496030335347</v>
      </c>
      <c r="C69" s="40">
        <f aca="true" t="shared" si="39" ref="C69:H69">C53*$A$69</f>
        <v>0.08473884478150387</v>
      </c>
      <c r="D69" s="36">
        <f t="shared" si="39"/>
        <v>0.08897578702057905</v>
      </c>
      <c r="E69" s="21">
        <f t="shared" si="39"/>
        <v>0.09533120037919184</v>
      </c>
      <c r="F69" s="40">
        <f t="shared" si="39"/>
        <v>0.10168661373780465</v>
      </c>
      <c r="G69" s="40">
        <f t="shared" si="39"/>
        <v>0.10592355597687983</v>
      </c>
      <c r="H69" s="40">
        <f t="shared" si="39"/>
        <v>0.11016049821595501</v>
      </c>
      <c r="I69" s="65"/>
      <c r="J69" s="33">
        <f t="shared" si="23"/>
        <v>0.5015812003791918</v>
      </c>
    </row>
    <row r="70" spans="1:10" ht="15" hidden="1" outlineLevel="1">
      <c r="A70" s="43">
        <v>17</v>
      </c>
      <c r="B70" s="40">
        <f>B53*$A$70</f>
        <v>0.08103152032231306</v>
      </c>
      <c r="C70" s="40">
        <f aca="true" t="shared" si="40" ref="C70:H70">C53*$A$70</f>
        <v>0.09003502258034786</v>
      </c>
      <c r="D70" s="36">
        <f t="shared" si="40"/>
        <v>0.09453677370936524</v>
      </c>
      <c r="E70" s="21">
        <f t="shared" si="40"/>
        <v>0.10128940040289132</v>
      </c>
      <c r="F70" s="40">
        <f t="shared" si="40"/>
        <v>0.10804202709641744</v>
      </c>
      <c r="G70" s="40">
        <f t="shared" si="40"/>
        <v>0.11254377822543482</v>
      </c>
      <c r="H70" s="40">
        <f t="shared" si="40"/>
        <v>0.1170455293544522</v>
      </c>
      <c r="I70" s="65"/>
      <c r="J70" s="33">
        <f t="shared" si="23"/>
        <v>0.5075394004028914</v>
      </c>
    </row>
    <row r="71" spans="1:10" ht="15" hidden="1" outlineLevel="1">
      <c r="A71" s="43">
        <v>18</v>
      </c>
      <c r="B71" s="40">
        <f>B53*$A$71</f>
        <v>0.08579808034127266</v>
      </c>
      <c r="C71" s="40">
        <f aca="true" t="shared" si="41" ref="C71:H71">C53*$A$71</f>
        <v>0.09533120037919185</v>
      </c>
      <c r="D71" s="36">
        <f t="shared" si="41"/>
        <v>0.10009776039815144</v>
      </c>
      <c r="E71" s="21">
        <f t="shared" si="41"/>
        <v>0.10724760042659082</v>
      </c>
      <c r="F71" s="40">
        <f t="shared" si="41"/>
        <v>0.11439744045503022</v>
      </c>
      <c r="G71" s="40">
        <f t="shared" si="41"/>
        <v>0.11916400047398981</v>
      </c>
      <c r="H71" s="40">
        <f t="shared" si="41"/>
        <v>0.12393056049294938</v>
      </c>
      <c r="I71" s="65"/>
      <c r="J71" s="33">
        <f t="shared" si="23"/>
        <v>0.5134976004265908</v>
      </c>
    </row>
    <row r="72" spans="1:10" ht="15" hidden="1" outlineLevel="1">
      <c r="A72" s="43">
        <v>19</v>
      </c>
      <c r="B72" s="40">
        <f>B53*$A$72</f>
        <v>0.09056464036023225</v>
      </c>
      <c r="C72" s="40">
        <f aca="true" t="shared" si="42" ref="C72:H72">C53*$A$72</f>
        <v>0.10062737817803584</v>
      </c>
      <c r="D72" s="36">
        <f t="shared" si="42"/>
        <v>0.10565874708693762</v>
      </c>
      <c r="E72" s="21">
        <f t="shared" si="42"/>
        <v>0.1132058004502903</v>
      </c>
      <c r="F72" s="40">
        <f t="shared" si="42"/>
        <v>0.12075285381364302</v>
      </c>
      <c r="G72" s="40">
        <f t="shared" si="42"/>
        <v>0.1257842227225448</v>
      </c>
      <c r="H72" s="40">
        <f t="shared" si="42"/>
        <v>0.13081559163144657</v>
      </c>
      <c r="I72" s="65"/>
      <c r="J72" s="33">
        <f t="shared" si="23"/>
        <v>0.5194558004502903</v>
      </c>
    </row>
    <row r="73" spans="1:10" ht="15" collapsed="1">
      <c r="A73" s="64">
        <v>20</v>
      </c>
      <c r="B73" s="61">
        <f aca="true" t="shared" si="43" ref="B73:H73">B53*$A$73</f>
        <v>0.09533120037919185</v>
      </c>
      <c r="C73" s="61">
        <f t="shared" si="43"/>
        <v>0.10592355597687983</v>
      </c>
      <c r="D73" s="62">
        <f t="shared" si="43"/>
        <v>0.11121973377572382</v>
      </c>
      <c r="E73" s="63">
        <f t="shared" si="43"/>
        <v>0.1191640004739898</v>
      </c>
      <c r="F73" s="61">
        <f t="shared" si="43"/>
        <v>0.12710826717225582</v>
      </c>
      <c r="G73" s="60">
        <f t="shared" si="43"/>
        <v>0.1324044449710998</v>
      </c>
      <c r="H73" s="61">
        <f t="shared" si="43"/>
        <v>0.13770062276994377</v>
      </c>
      <c r="I73" s="65"/>
      <c r="J73" s="34">
        <f t="shared" si="23"/>
        <v>0.5254140004739898</v>
      </c>
    </row>
    <row r="74" spans="1:10" ht="15" hidden="1" outlineLevel="1">
      <c r="A74" s="43">
        <v>21</v>
      </c>
      <c r="B74" s="40">
        <f>B53*$A$74</f>
        <v>0.10009776039815144</v>
      </c>
      <c r="C74" s="40">
        <f aca="true" t="shared" si="44" ref="C74:H74">C53*$A$74</f>
        <v>0.11121973377572383</v>
      </c>
      <c r="D74" s="36">
        <f t="shared" si="44"/>
        <v>0.11678072046451</v>
      </c>
      <c r="E74" s="21">
        <f t="shared" si="44"/>
        <v>0.1251222004976893</v>
      </c>
      <c r="F74" s="40">
        <f t="shared" si="44"/>
        <v>0.1334636805308686</v>
      </c>
      <c r="G74" s="40">
        <f t="shared" si="44"/>
        <v>0.13902466721965479</v>
      </c>
      <c r="H74" s="40">
        <f t="shared" si="44"/>
        <v>0.14458565390844094</v>
      </c>
      <c r="I74" s="65"/>
      <c r="J74" s="33">
        <f t="shared" si="23"/>
        <v>0.5313722004976893</v>
      </c>
    </row>
    <row r="75" spans="1:10" ht="15" hidden="1" outlineLevel="1">
      <c r="A75" s="43">
        <v>22</v>
      </c>
      <c r="B75" s="40">
        <f>B53*$A$75</f>
        <v>0.10486432041711102</v>
      </c>
      <c r="C75" s="40">
        <f aca="true" t="shared" si="45" ref="C75:H75">C53*$A$75</f>
        <v>0.11651591157456782</v>
      </c>
      <c r="D75" s="36">
        <f t="shared" si="45"/>
        <v>0.1223417071532962</v>
      </c>
      <c r="E75" s="21">
        <f t="shared" si="45"/>
        <v>0.13108040052138878</v>
      </c>
      <c r="F75" s="40">
        <f t="shared" si="45"/>
        <v>0.13981909388948138</v>
      </c>
      <c r="G75" s="40">
        <f t="shared" si="45"/>
        <v>0.14564488946820978</v>
      </c>
      <c r="H75" s="40">
        <f t="shared" si="45"/>
        <v>0.15147068504693814</v>
      </c>
      <c r="I75" s="65"/>
      <c r="J75" s="33">
        <f t="shared" si="23"/>
        <v>0.5373304005213888</v>
      </c>
    </row>
    <row r="76" spans="1:10" ht="15" hidden="1" outlineLevel="1">
      <c r="A76" s="43">
        <v>23</v>
      </c>
      <c r="B76" s="40">
        <f>B53*$A$76</f>
        <v>0.10963088043607062</v>
      </c>
      <c r="C76" s="40">
        <f aca="true" t="shared" si="46" ref="C76:H76">C53*$A$76</f>
        <v>0.12181208937341181</v>
      </c>
      <c r="D76" s="36">
        <f t="shared" si="46"/>
        <v>0.1279026938420824</v>
      </c>
      <c r="E76" s="21">
        <f t="shared" si="46"/>
        <v>0.13703860054508826</v>
      </c>
      <c r="F76" s="40">
        <f t="shared" si="46"/>
        <v>0.14617450724809417</v>
      </c>
      <c r="G76" s="40">
        <f t="shared" si="46"/>
        <v>0.15226511171676477</v>
      </c>
      <c r="H76" s="40">
        <f t="shared" si="46"/>
        <v>0.15835571618543534</v>
      </c>
      <c r="I76" s="65"/>
      <c r="J76" s="33">
        <f t="shared" si="23"/>
        <v>0.5432886005450883</v>
      </c>
    </row>
    <row r="77" spans="1:10" ht="15" hidden="1" outlineLevel="1">
      <c r="A77" s="43">
        <v>24</v>
      </c>
      <c r="B77" s="40">
        <f>B53*$A$77</f>
        <v>0.11439744045503021</v>
      </c>
      <c r="C77" s="40">
        <f aca="true" t="shared" si="47" ref="C77:H77">C53*$A$77</f>
        <v>0.12710826717225582</v>
      </c>
      <c r="D77" s="36">
        <f t="shared" si="47"/>
        <v>0.13346368053086857</v>
      </c>
      <c r="E77" s="21">
        <f t="shared" si="47"/>
        <v>0.14299680056878775</v>
      </c>
      <c r="F77" s="40">
        <f t="shared" si="47"/>
        <v>0.15252992060670698</v>
      </c>
      <c r="G77" s="40">
        <f t="shared" si="47"/>
        <v>0.15888533396531973</v>
      </c>
      <c r="H77" s="40">
        <f t="shared" si="47"/>
        <v>0.1652407473239325</v>
      </c>
      <c r="I77" s="65"/>
      <c r="J77" s="33">
        <f t="shared" si="23"/>
        <v>0.5492468005687877</v>
      </c>
    </row>
    <row r="78" spans="1:10" ht="15" collapsed="1">
      <c r="A78" s="64">
        <v>25</v>
      </c>
      <c r="B78" s="61">
        <f aca="true" t="shared" si="48" ref="B78:H78">B53*$A$78</f>
        <v>0.1191640004739898</v>
      </c>
      <c r="C78" s="61">
        <f t="shared" si="48"/>
        <v>0.1324044449710998</v>
      </c>
      <c r="D78" s="62">
        <f t="shared" si="48"/>
        <v>0.13902466721965476</v>
      </c>
      <c r="E78" s="63">
        <f t="shared" si="48"/>
        <v>0.14895500059248723</v>
      </c>
      <c r="F78" s="61">
        <f t="shared" si="48"/>
        <v>0.15888533396531976</v>
      </c>
      <c r="G78" s="60">
        <f t="shared" si="48"/>
        <v>0.16550555621387472</v>
      </c>
      <c r="H78" s="61">
        <f t="shared" si="48"/>
        <v>0.1721257784624297</v>
      </c>
      <c r="I78" s="65"/>
      <c r="J78" s="34">
        <f t="shared" si="23"/>
        <v>0.5552050005924872</v>
      </c>
    </row>
    <row r="79" spans="1:10" ht="15">
      <c r="A79" s="46">
        <f>F1</f>
        <v>26.22436295835923</v>
      </c>
      <c r="B79" s="40">
        <f aca="true" t="shared" si="49" ref="B79:H79">B53*$A$79</f>
        <v>0.125</v>
      </c>
      <c r="C79" s="40">
        <f t="shared" si="49"/>
        <v>0.1388888888888889</v>
      </c>
      <c r="D79" s="36">
        <f t="shared" si="49"/>
        <v>0.14583333333333331</v>
      </c>
      <c r="E79" s="21">
        <f t="shared" si="49"/>
        <v>0.15624999999999997</v>
      </c>
      <c r="F79" s="40">
        <f t="shared" si="49"/>
        <v>0.16666666666666669</v>
      </c>
      <c r="G79" s="47">
        <f t="shared" si="49"/>
        <v>0.1736111111111111</v>
      </c>
      <c r="H79" s="40">
        <f t="shared" si="49"/>
        <v>0.18055555555555555</v>
      </c>
      <c r="I79" s="65"/>
      <c r="J79" s="33">
        <f t="shared" si="23"/>
        <v>0.5625</v>
      </c>
    </row>
    <row r="80" spans="1:10" ht="3.75" customHeight="1" thickBot="1">
      <c r="A80" s="55"/>
      <c r="B80" s="56"/>
      <c r="C80" s="8"/>
      <c r="D80" s="7"/>
      <c r="E80" s="22"/>
      <c r="F80" s="17"/>
      <c r="G80" s="54"/>
      <c r="H80" s="8" t="s">
        <v>25</v>
      </c>
      <c r="J80" s="35"/>
    </row>
  </sheetData>
  <printOptions/>
  <pageMargins left="0.75" right="0.75" top="1" bottom="1" header="0.4921259845" footer="0.4921259845"/>
  <pageSetup fitToHeight="1" fitToWidth="1" horizontalDpi="360" verticalDpi="36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K6" sqref="K6"/>
    </sheetView>
  </sheetViews>
  <sheetFormatPr defaultColWidth="11.5546875" defaultRowHeight="15"/>
  <cols>
    <col min="1" max="1" width="4.88671875" style="0" customWidth="1"/>
    <col min="2" max="2" width="7.6640625" style="0" customWidth="1"/>
    <col min="3" max="3" width="6.99609375" style="23" customWidth="1"/>
    <col min="4" max="4" width="3.6640625" style="23" customWidth="1"/>
    <col min="5" max="5" width="2.6640625" style="23" customWidth="1"/>
    <col min="6" max="6" width="3.88671875" style="0" customWidth="1"/>
    <col min="8" max="8" width="3.5546875" style="0" bestFit="1" customWidth="1"/>
    <col min="9" max="10" width="6.77734375" style="0" customWidth="1"/>
    <col min="11" max="11" width="7.77734375" style="0" customWidth="1"/>
    <col min="12" max="12" width="4.10546875" style="0" customWidth="1"/>
    <col min="13" max="13" width="2.77734375" style="0" customWidth="1"/>
    <col min="14" max="14" width="3.5546875" style="0" bestFit="1" customWidth="1"/>
  </cols>
  <sheetData>
    <row r="1" spans="1:13" ht="12.75" customHeight="1">
      <c r="A1" s="26" t="s">
        <v>49</v>
      </c>
      <c r="B1" s="93" t="s">
        <v>29</v>
      </c>
      <c r="C1" s="94" t="s">
        <v>60</v>
      </c>
      <c r="E1" s="23" t="s">
        <v>55</v>
      </c>
      <c r="H1" s="94" t="s">
        <v>74</v>
      </c>
      <c r="I1" s="94" t="s">
        <v>75</v>
      </c>
      <c r="J1" s="94" t="s">
        <v>29</v>
      </c>
      <c r="K1" s="94" t="s">
        <v>60</v>
      </c>
      <c r="M1" s="23" t="s">
        <v>55</v>
      </c>
    </row>
    <row r="2" spans="1:13" ht="12.75" customHeight="1">
      <c r="A2" s="23">
        <v>1</v>
      </c>
      <c r="B2" s="25">
        <v>0.00337962962962963</v>
      </c>
      <c r="C2" s="29">
        <f>+B2</f>
        <v>0.00337962962962963</v>
      </c>
      <c r="E2" s="94" t="s">
        <v>49</v>
      </c>
      <c r="H2" s="23">
        <v>1</v>
      </c>
      <c r="I2" s="25">
        <v>0.006076388888888889</v>
      </c>
      <c r="J2" s="25">
        <f>+I2/1.609</f>
        <v>0.0037765002416960155</v>
      </c>
      <c r="K2" s="29">
        <f>+I2</f>
        <v>0.006076388888888889</v>
      </c>
      <c r="M2" s="94" t="s">
        <v>74</v>
      </c>
    </row>
    <row r="3" spans="1:14" ht="12.75" customHeight="1">
      <c r="A3" s="23">
        <v>2</v>
      </c>
      <c r="B3" s="25">
        <v>0.00337962962962963</v>
      </c>
      <c r="C3" s="29">
        <f>+B3+C2</f>
        <v>0.00675925925925926</v>
      </c>
      <c r="E3" s="98">
        <v>5</v>
      </c>
      <c r="F3" s="113">
        <f>+C6</f>
        <v>0.016851851851851854</v>
      </c>
      <c r="H3" s="23">
        <v>2</v>
      </c>
      <c r="I3" s="25">
        <v>0.006076388888888889</v>
      </c>
      <c r="J3" s="25">
        <f aca="true" t="shared" si="0" ref="J3:J28">+I3/1.609</f>
        <v>0.0037765002416960155</v>
      </c>
      <c r="K3" s="29">
        <f>+I3+K2</f>
        <v>0.012152777777777778</v>
      </c>
      <c r="M3" s="98">
        <v>5</v>
      </c>
      <c r="N3" s="113">
        <f>+K6</f>
        <v>0.02986111111111111</v>
      </c>
    </row>
    <row r="4" spans="1:14" ht="12.75" customHeight="1">
      <c r="A4" s="23">
        <v>3</v>
      </c>
      <c r="B4" s="25">
        <v>0.00337962962962963</v>
      </c>
      <c r="C4" s="76">
        <f aca="true" t="shared" si="1" ref="C4:C43">+B4+C3</f>
        <v>0.01013888888888889</v>
      </c>
      <c r="D4" s="26"/>
      <c r="E4" s="99">
        <v>10</v>
      </c>
      <c r="F4" s="114">
        <f>+C11</f>
        <v>0.03346064814814815</v>
      </c>
      <c r="H4" s="23">
        <v>3</v>
      </c>
      <c r="I4" s="25">
        <v>0.005902777777777778</v>
      </c>
      <c r="J4" s="25">
        <f t="shared" si="0"/>
        <v>0.003668600234790415</v>
      </c>
      <c r="K4" s="76">
        <f aca="true" t="shared" si="2" ref="K4:K14">+I4+K3</f>
        <v>0.018055555555555554</v>
      </c>
      <c r="M4" s="99">
        <v>10</v>
      </c>
      <c r="N4" s="114">
        <f>+K11</f>
        <v>0.059201388888888894</v>
      </c>
    </row>
    <row r="5" spans="1:14" ht="12.75" customHeight="1">
      <c r="A5" s="23">
        <v>4</v>
      </c>
      <c r="B5" s="25">
        <v>0.003356481481481481</v>
      </c>
      <c r="C5" s="76">
        <f t="shared" si="1"/>
        <v>0.013495370370370371</v>
      </c>
      <c r="E5" s="100">
        <v>15</v>
      </c>
      <c r="F5" s="119">
        <f>+C16</f>
        <v>0.049953703703703715</v>
      </c>
      <c r="H5" s="23">
        <v>4</v>
      </c>
      <c r="I5" s="25">
        <v>0.005902777777777778</v>
      </c>
      <c r="J5" s="25">
        <f t="shared" si="0"/>
        <v>0.003668600234790415</v>
      </c>
      <c r="K5" s="76">
        <f t="shared" si="2"/>
        <v>0.02395833333333333</v>
      </c>
      <c r="M5" s="110" t="s">
        <v>76</v>
      </c>
      <c r="N5" s="115">
        <f>+K15</f>
        <v>0.07738635251939323</v>
      </c>
    </row>
    <row r="6" spans="1:14" ht="12.75" customHeight="1">
      <c r="A6" s="27">
        <v>5</v>
      </c>
      <c r="B6" s="28">
        <v>0.003356481481481481</v>
      </c>
      <c r="C6" s="77">
        <f t="shared" si="1"/>
        <v>0.016851851851851854</v>
      </c>
      <c r="E6" s="99">
        <v>20</v>
      </c>
      <c r="F6" s="114">
        <f>+C21</f>
        <v>0.06615740740740741</v>
      </c>
      <c r="H6" s="27">
        <v>5</v>
      </c>
      <c r="I6" s="28">
        <v>0.005902777777777778</v>
      </c>
      <c r="J6" s="28">
        <f t="shared" si="0"/>
        <v>0.003668600234790415</v>
      </c>
      <c r="K6" s="77">
        <f t="shared" si="2"/>
        <v>0.02986111111111111</v>
      </c>
      <c r="M6" s="111">
        <v>15</v>
      </c>
      <c r="N6" s="116">
        <f>+K17</f>
        <v>0.08842592592592594</v>
      </c>
    </row>
    <row r="7" spans="1:14" ht="12.75" customHeight="1">
      <c r="A7" s="23">
        <v>6</v>
      </c>
      <c r="B7" s="25">
        <v>0.003356481481481481</v>
      </c>
      <c r="C7" s="76">
        <f t="shared" si="1"/>
        <v>0.020208333333333335</v>
      </c>
      <c r="E7" s="101" t="s">
        <v>76</v>
      </c>
      <c r="F7" s="115">
        <f>+C23</f>
        <v>0.06970925925925926</v>
      </c>
      <c r="H7" s="23">
        <v>6</v>
      </c>
      <c r="I7" s="25">
        <v>0.005902777777777778</v>
      </c>
      <c r="J7" s="25">
        <f t="shared" si="0"/>
        <v>0.003668600234790415</v>
      </c>
      <c r="K7" s="76">
        <f t="shared" si="2"/>
        <v>0.03576388888888889</v>
      </c>
      <c r="M7" s="112">
        <v>20</v>
      </c>
      <c r="N7" s="117">
        <f>+K22</f>
        <v>0.11817129629629633</v>
      </c>
    </row>
    <row r="8" spans="1:14" ht="12.75" customHeight="1">
      <c r="A8" s="23">
        <v>7</v>
      </c>
      <c r="B8" s="25">
        <v>0.003356481481481481</v>
      </c>
      <c r="C8" s="76">
        <f t="shared" si="1"/>
        <v>0.023564814814814816</v>
      </c>
      <c r="D8" s="26"/>
      <c r="E8" s="99">
        <v>25</v>
      </c>
      <c r="F8" s="114">
        <f>+C27</f>
        <v>0.08230324074074073</v>
      </c>
      <c r="H8" s="23">
        <v>7</v>
      </c>
      <c r="I8" s="25">
        <v>0.005902777777777778</v>
      </c>
      <c r="J8" s="25">
        <f t="shared" si="0"/>
        <v>0.003668600234790415</v>
      </c>
      <c r="K8" s="76">
        <f t="shared" si="2"/>
        <v>0.041666666666666664</v>
      </c>
      <c r="M8" s="109">
        <v>25</v>
      </c>
      <c r="N8" s="118">
        <f>+K27</f>
        <v>0.1488425925925926</v>
      </c>
    </row>
    <row r="9" spans="1:14" ht="12.75" customHeight="1">
      <c r="A9" s="23">
        <v>8</v>
      </c>
      <c r="B9" s="25">
        <v>0.003298611111111111</v>
      </c>
      <c r="C9" s="76">
        <f t="shared" si="1"/>
        <v>0.026863425925925926</v>
      </c>
      <c r="E9" s="102">
        <v>30</v>
      </c>
      <c r="F9" s="119">
        <f>+C32</f>
        <v>0.09850694444444442</v>
      </c>
      <c r="H9" s="23">
        <v>8</v>
      </c>
      <c r="I9" s="25">
        <v>0.005844907407407407</v>
      </c>
      <c r="J9" s="25">
        <f t="shared" si="0"/>
        <v>0.0036326335658218812</v>
      </c>
      <c r="K9" s="76">
        <f t="shared" si="2"/>
        <v>0.047511574074074074</v>
      </c>
      <c r="M9" s="107"/>
      <c r="N9" s="108"/>
    </row>
    <row r="10" spans="1:14" ht="12.75" customHeight="1">
      <c r="A10" s="23">
        <v>9</v>
      </c>
      <c r="B10" s="25">
        <v>0.003298611111111111</v>
      </c>
      <c r="C10" s="76">
        <f t="shared" si="1"/>
        <v>0.030162037037037036</v>
      </c>
      <c r="E10" s="99">
        <v>35</v>
      </c>
      <c r="F10" s="114">
        <f>+C37</f>
        <v>0.11488425925925924</v>
      </c>
      <c r="H10" s="23">
        <v>9</v>
      </c>
      <c r="I10" s="25">
        <v>0.005844907407407407</v>
      </c>
      <c r="J10" s="25">
        <f t="shared" si="0"/>
        <v>0.0036326335658218812</v>
      </c>
      <c r="K10" s="76">
        <f t="shared" si="2"/>
        <v>0.053356481481481484</v>
      </c>
      <c r="M10" s="107"/>
      <c r="N10" s="108"/>
    </row>
    <row r="11" spans="1:14" ht="12.75" customHeight="1">
      <c r="A11" s="27">
        <v>10</v>
      </c>
      <c r="B11" s="28">
        <v>0.003298611111111111</v>
      </c>
      <c r="C11" s="77">
        <f t="shared" si="1"/>
        <v>0.03346064814814815</v>
      </c>
      <c r="E11" s="103">
        <v>40</v>
      </c>
      <c r="F11" s="120">
        <f>+C42</f>
        <v>0.13149305555555554</v>
      </c>
      <c r="H11" s="27">
        <v>10</v>
      </c>
      <c r="I11" s="28">
        <v>0.005844907407407407</v>
      </c>
      <c r="J11" s="28">
        <f t="shared" si="0"/>
        <v>0.0036326335658218812</v>
      </c>
      <c r="K11" s="77">
        <f t="shared" si="2"/>
        <v>0.059201388888888894</v>
      </c>
      <c r="M11" s="105"/>
      <c r="N11" s="106"/>
    </row>
    <row r="12" spans="1:11" ht="12.75" customHeight="1">
      <c r="A12" s="23">
        <v>11</v>
      </c>
      <c r="B12" s="25">
        <v>0.003298611111111111</v>
      </c>
      <c r="C12" s="76">
        <f t="shared" si="1"/>
        <v>0.03675925925925926</v>
      </c>
      <c r="H12" s="23">
        <v>11</v>
      </c>
      <c r="I12" s="25">
        <v>0.005844907407407407</v>
      </c>
      <c r="J12" s="25">
        <f t="shared" si="0"/>
        <v>0.0036326335658218812</v>
      </c>
      <c r="K12" s="76">
        <f t="shared" si="2"/>
        <v>0.0650462962962963</v>
      </c>
    </row>
    <row r="13" spans="1:14" ht="12.75" customHeight="1">
      <c r="A13" s="23">
        <v>12</v>
      </c>
      <c r="B13" s="25">
        <v>0.003298611111111111</v>
      </c>
      <c r="C13" s="76">
        <f t="shared" si="1"/>
        <v>0.040057870370370376</v>
      </c>
      <c r="H13" s="23">
        <v>12</v>
      </c>
      <c r="I13" s="25">
        <v>0.005844907407407407</v>
      </c>
      <c r="J13" s="25">
        <f t="shared" si="0"/>
        <v>0.0036326335658218812</v>
      </c>
      <c r="K13" s="76">
        <f t="shared" si="2"/>
        <v>0.0708912037037037</v>
      </c>
      <c r="N13" s="25"/>
    </row>
    <row r="14" spans="1:14" ht="12.75" customHeight="1">
      <c r="A14" s="23">
        <v>13</v>
      </c>
      <c r="B14" s="25">
        <v>0.003298611111111111</v>
      </c>
      <c r="C14" s="76">
        <f t="shared" si="1"/>
        <v>0.04335648148148149</v>
      </c>
      <c r="H14" s="23">
        <v>13</v>
      </c>
      <c r="I14" s="25">
        <v>0.005844907407407407</v>
      </c>
      <c r="J14" s="25">
        <f t="shared" si="0"/>
        <v>0.0036326335658218812</v>
      </c>
      <c r="K14" s="76">
        <f t="shared" si="2"/>
        <v>0.07673611111111112</v>
      </c>
      <c r="N14" s="25"/>
    </row>
    <row r="15" spans="1:14" ht="12.75" customHeight="1">
      <c r="A15" s="23">
        <v>14</v>
      </c>
      <c r="B15" s="25">
        <v>0.003298611111111111</v>
      </c>
      <c r="C15" s="76">
        <f t="shared" si="1"/>
        <v>0.0466550925925926</v>
      </c>
      <c r="H15" s="79">
        <f>+A23/1.609</f>
        <v>13.11124922311995</v>
      </c>
      <c r="I15" s="80">
        <v>0.005844907407407407</v>
      </c>
      <c r="J15" s="80">
        <f t="shared" si="0"/>
        <v>0.0036326335658218812</v>
      </c>
      <c r="K15" s="81">
        <f>+I15*(H15-H14)+K14</f>
        <v>0.07738635251939323</v>
      </c>
      <c r="N15" s="25"/>
    </row>
    <row r="16" spans="1:11" ht="12.75" customHeight="1">
      <c r="A16" s="27">
        <v>15</v>
      </c>
      <c r="B16" s="28">
        <v>0.003298611111111111</v>
      </c>
      <c r="C16" s="77">
        <f t="shared" si="1"/>
        <v>0.049953703703703715</v>
      </c>
      <c r="H16" s="23">
        <v>14</v>
      </c>
      <c r="I16" s="25">
        <v>0.005844907407407407</v>
      </c>
      <c r="J16" s="25">
        <f t="shared" si="0"/>
        <v>0.0036326335658218812</v>
      </c>
      <c r="K16" s="76">
        <f>+I16+K14</f>
        <v>0.08258101851851853</v>
      </c>
    </row>
    <row r="17" spans="1:11" ht="12.75" customHeight="1">
      <c r="A17" s="23">
        <v>16</v>
      </c>
      <c r="B17" s="25">
        <v>0.0032407407407407406</v>
      </c>
      <c r="C17" s="76">
        <f t="shared" si="1"/>
        <v>0.053194444444444454</v>
      </c>
      <c r="H17" s="27">
        <v>15</v>
      </c>
      <c r="I17" s="28">
        <v>0.005844907407407407</v>
      </c>
      <c r="J17" s="28">
        <f t="shared" si="0"/>
        <v>0.0036326335658218812</v>
      </c>
      <c r="K17" s="77">
        <f aca="true" t="shared" si="3" ref="K17:K27">+I17+K16</f>
        <v>0.08842592592592594</v>
      </c>
    </row>
    <row r="18" spans="1:11" ht="12.75" customHeight="1">
      <c r="A18" s="23">
        <v>17</v>
      </c>
      <c r="B18" s="25">
        <v>0.0032407407407407406</v>
      </c>
      <c r="C18" s="76">
        <f t="shared" si="1"/>
        <v>0.05643518518518519</v>
      </c>
      <c r="H18" s="23">
        <v>16</v>
      </c>
      <c r="I18" s="25">
        <v>0.005902777777777778</v>
      </c>
      <c r="J18" s="25">
        <f t="shared" si="0"/>
        <v>0.003668600234790415</v>
      </c>
      <c r="K18" s="76">
        <f t="shared" si="3"/>
        <v>0.09432870370370372</v>
      </c>
    </row>
    <row r="19" spans="1:11" ht="12.75" customHeight="1">
      <c r="A19" s="23">
        <v>18</v>
      </c>
      <c r="B19" s="25">
        <v>0.0032407407407407406</v>
      </c>
      <c r="C19" s="76">
        <f t="shared" si="1"/>
        <v>0.05967592592592593</v>
      </c>
      <c r="H19" s="23">
        <v>17</v>
      </c>
      <c r="I19" s="25">
        <v>0.005902777777777778</v>
      </c>
      <c r="J19" s="25">
        <f t="shared" si="0"/>
        <v>0.003668600234790415</v>
      </c>
      <c r="K19" s="76">
        <f t="shared" si="3"/>
        <v>0.1002314814814815</v>
      </c>
    </row>
    <row r="20" spans="1:11" ht="12.75" customHeight="1">
      <c r="A20" s="23">
        <v>19</v>
      </c>
      <c r="B20" s="25">
        <v>0.0032407407407407406</v>
      </c>
      <c r="C20" s="76">
        <f t="shared" si="1"/>
        <v>0.06291666666666668</v>
      </c>
      <c r="H20" s="23">
        <v>18</v>
      </c>
      <c r="I20" s="25">
        <v>0.005902777777777778</v>
      </c>
      <c r="J20" s="25">
        <f t="shared" si="0"/>
        <v>0.003668600234790415</v>
      </c>
      <c r="K20" s="76">
        <f t="shared" si="3"/>
        <v>0.10613425925925929</v>
      </c>
    </row>
    <row r="21" spans="1:11" ht="12.75" customHeight="1">
      <c r="A21" s="27">
        <v>20</v>
      </c>
      <c r="B21" s="28">
        <v>0.0032407407407407406</v>
      </c>
      <c r="C21" s="77">
        <f t="shared" si="1"/>
        <v>0.06615740740740741</v>
      </c>
      <c r="H21" s="23">
        <v>19</v>
      </c>
      <c r="I21" s="25">
        <v>0.005902777777777778</v>
      </c>
      <c r="J21" s="25">
        <f t="shared" si="0"/>
        <v>0.003668600234790415</v>
      </c>
      <c r="K21" s="76">
        <f t="shared" si="3"/>
        <v>0.11203703703703707</v>
      </c>
    </row>
    <row r="22" spans="1:11" ht="12.75" customHeight="1">
      <c r="A22" s="23">
        <v>21</v>
      </c>
      <c r="B22" s="25">
        <v>0.0032407407407407406</v>
      </c>
      <c r="C22" s="76">
        <f t="shared" si="1"/>
        <v>0.06939814814814815</v>
      </c>
      <c r="H22" s="27">
        <v>20</v>
      </c>
      <c r="I22" s="28">
        <v>0.0061342592592592594</v>
      </c>
      <c r="J22" s="28">
        <f t="shared" si="0"/>
        <v>0.003812466910664549</v>
      </c>
      <c r="K22" s="77">
        <f t="shared" si="3"/>
        <v>0.11817129629629633</v>
      </c>
    </row>
    <row r="23" spans="1:11" ht="12.75" customHeight="1">
      <c r="A23" s="79">
        <v>21.096</v>
      </c>
      <c r="B23" s="80">
        <v>0.0032407407407407406</v>
      </c>
      <c r="C23" s="81">
        <f>+B23/1000*96+C22</f>
        <v>0.06970925925925926</v>
      </c>
      <c r="D23" s="26"/>
      <c r="E23" s="29"/>
      <c r="F23" s="75"/>
      <c r="H23" s="23">
        <v>21</v>
      </c>
      <c r="I23" s="25">
        <v>0.0061342592592592594</v>
      </c>
      <c r="J23" s="25">
        <f t="shared" si="0"/>
        <v>0.003812466910664549</v>
      </c>
      <c r="K23" s="76">
        <f t="shared" si="3"/>
        <v>0.12430555555555559</v>
      </c>
    </row>
    <row r="24" spans="1:11" ht="12.75" customHeight="1">
      <c r="A24" s="23">
        <v>22</v>
      </c>
      <c r="B24" s="25">
        <v>0.00318287037037037</v>
      </c>
      <c r="C24" s="76">
        <f>+B24+C22</f>
        <v>0.07258101851851852</v>
      </c>
      <c r="H24" s="23">
        <v>22</v>
      </c>
      <c r="I24" s="25">
        <v>0.0061342592592592594</v>
      </c>
      <c r="J24" s="25">
        <f t="shared" si="0"/>
        <v>0.003812466910664549</v>
      </c>
      <c r="K24" s="76">
        <f t="shared" si="3"/>
        <v>0.13043981481481484</v>
      </c>
    </row>
    <row r="25" spans="1:11" ht="12.75" customHeight="1">
      <c r="A25" s="23">
        <v>23</v>
      </c>
      <c r="B25" s="25">
        <v>0.0032407407407407406</v>
      </c>
      <c r="C25" s="76">
        <f t="shared" si="1"/>
        <v>0.07582175925925926</v>
      </c>
      <c r="H25" s="23">
        <v>23</v>
      </c>
      <c r="I25" s="25">
        <v>0.0061342592592592594</v>
      </c>
      <c r="J25" s="25">
        <f t="shared" si="0"/>
        <v>0.003812466910664549</v>
      </c>
      <c r="K25" s="76">
        <f t="shared" si="3"/>
        <v>0.1365740740740741</v>
      </c>
    </row>
    <row r="26" spans="1:11" ht="12.75" customHeight="1">
      <c r="A26" s="23">
        <v>24</v>
      </c>
      <c r="B26" s="25">
        <v>0.0032407407407407406</v>
      </c>
      <c r="C26" s="76">
        <f t="shared" si="1"/>
        <v>0.0790625</v>
      </c>
      <c r="H26" s="23">
        <v>24</v>
      </c>
      <c r="I26" s="25">
        <v>0.0061342592592592594</v>
      </c>
      <c r="J26" s="25">
        <f t="shared" si="0"/>
        <v>0.003812466910664549</v>
      </c>
      <c r="K26" s="76">
        <f t="shared" si="3"/>
        <v>0.14270833333333335</v>
      </c>
    </row>
    <row r="27" spans="1:11" ht="12.75" customHeight="1">
      <c r="A27" s="27">
        <v>25</v>
      </c>
      <c r="B27" s="28">
        <v>0.0032407407407407406</v>
      </c>
      <c r="C27" s="77">
        <f t="shared" si="1"/>
        <v>0.08230324074074073</v>
      </c>
      <c r="H27" s="27">
        <v>25</v>
      </c>
      <c r="I27" s="28">
        <v>0.0061342592592592594</v>
      </c>
      <c r="J27" s="28">
        <f t="shared" si="0"/>
        <v>0.003812466910664549</v>
      </c>
      <c r="K27" s="77">
        <f t="shared" si="3"/>
        <v>0.1488425925925926</v>
      </c>
    </row>
    <row r="28" spans="1:11" ht="12.75" customHeight="1">
      <c r="A28" s="23">
        <v>26</v>
      </c>
      <c r="B28" s="25">
        <v>0.0032407407407407406</v>
      </c>
      <c r="C28" s="76">
        <f t="shared" si="1"/>
        <v>0.08554398148148147</v>
      </c>
      <c r="H28" s="104">
        <f>+A45/1.609</f>
        <v>26.22436295835923</v>
      </c>
      <c r="I28" s="25">
        <v>0.005902777777777778</v>
      </c>
      <c r="J28" s="25">
        <f t="shared" si="0"/>
        <v>0.003668600234790415</v>
      </c>
      <c r="K28" s="76">
        <f>+I28*(H28-H27)+K27</f>
        <v>0.15606973505512972</v>
      </c>
    </row>
    <row r="29" spans="1:3" ht="12.75" customHeight="1">
      <c r="A29" s="23">
        <v>27</v>
      </c>
      <c r="B29" s="25">
        <v>0.0032407407407407406</v>
      </c>
      <c r="C29" s="76">
        <f t="shared" si="1"/>
        <v>0.08878472222222221</v>
      </c>
    </row>
    <row r="30" spans="1:3" ht="12.75" customHeight="1">
      <c r="A30" s="23">
        <v>28</v>
      </c>
      <c r="B30" s="25">
        <v>0.0032407407407407406</v>
      </c>
      <c r="C30" s="76">
        <f t="shared" si="1"/>
        <v>0.09202546296296295</v>
      </c>
    </row>
    <row r="31" spans="1:3" ht="12.75" customHeight="1">
      <c r="A31" s="23">
        <v>29</v>
      </c>
      <c r="B31" s="25">
        <v>0.0032407407407407406</v>
      </c>
      <c r="C31" s="76">
        <f t="shared" si="1"/>
        <v>0.09526620370370369</v>
      </c>
    </row>
    <row r="32" spans="1:3" ht="12.75" customHeight="1">
      <c r="A32" s="27">
        <v>30</v>
      </c>
      <c r="B32" s="28">
        <v>0.0032407407407407406</v>
      </c>
      <c r="C32" s="77">
        <f t="shared" si="1"/>
        <v>0.09850694444444442</v>
      </c>
    </row>
    <row r="33" spans="1:3" ht="12.75" customHeight="1">
      <c r="A33" s="23">
        <v>31</v>
      </c>
      <c r="B33" s="25">
        <v>0.0032407407407407406</v>
      </c>
      <c r="C33" s="78">
        <f t="shared" si="1"/>
        <v>0.10174768518518516</v>
      </c>
    </row>
    <row r="34" spans="1:3" ht="12.75" customHeight="1">
      <c r="A34" s="23">
        <v>32</v>
      </c>
      <c r="B34" s="25">
        <v>0.0032407407407407406</v>
      </c>
      <c r="C34" s="78">
        <f t="shared" si="1"/>
        <v>0.1049884259259259</v>
      </c>
    </row>
    <row r="35" spans="1:3" ht="12.75" customHeight="1">
      <c r="A35" s="23">
        <v>33</v>
      </c>
      <c r="B35" s="25">
        <v>0.003298611111111111</v>
      </c>
      <c r="C35" s="78">
        <f t="shared" si="1"/>
        <v>0.10828703703703701</v>
      </c>
    </row>
    <row r="36" spans="1:3" ht="12.75" customHeight="1">
      <c r="A36" s="23">
        <v>34</v>
      </c>
      <c r="B36" s="25">
        <v>0.003298611111111111</v>
      </c>
      <c r="C36" s="78">
        <f t="shared" si="1"/>
        <v>0.11158564814814813</v>
      </c>
    </row>
    <row r="37" spans="1:3" ht="12.75" customHeight="1">
      <c r="A37" s="27">
        <v>35</v>
      </c>
      <c r="B37" s="28">
        <v>0.003298611111111111</v>
      </c>
      <c r="C37" s="77">
        <f t="shared" si="1"/>
        <v>0.11488425925925924</v>
      </c>
    </row>
    <row r="38" spans="1:3" ht="12.75" customHeight="1">
      <c r="A38" s="23">
        <v>36</v>
      </c>
      <c r="B38" s="25">
        <v>0.003298611111111111</v>
      </c>
      <c r="C38" s="78">
        <f t="shared" si="1"/>
        <v>0.11818287037037035</v>
      </c>
    </row>
    <row r="39" spans="1:3" ht="12.75" customHeight="1">
      <c r="A39" s="23">
        <v>37</v>
      </c>
      <c r="B39" s="25">
        <v>0.003298611111111111</v>
      </c>
      <c r="C39" s="78">
        <f t="shared" si="1"/>
        <v>0.12148148148148147</v>
      </c>
    </row>
    <row r="40" spans="1:3" ht="12.75" customHeight="1">
      <c r="A40" s="23">
        <v>38</v>
      </c>
      <c r="B40" s="25">
        <v>0.003298611111111111</v>
      </c>
      <c r="C40" s="78">
        <f t="shared" si="1"/>
        <v>0.12478009259259258</v>
      </c>
    </row>
    <row r="41" spans="1:3" ht="12.75" customHeight="1">
      <c r="A41" s="23">
        <v>39</v>
      </c>
      <c r="B41" s="25">
        <v>0.003356481481481481</v>
      </c>
      <c r="C41" s="78">
        <f t="shared" si="1"/>
        <v>0.12813657407407406</v>
      </c>
    </row>
    <row r="42" spans="1:3" ht="12.75" customHeight="1">
      <c r="A42" s="27">
        <v>40</v>
      </c>
      <c r="B42" s="28">
        <v>0.003356481481481481</v>
      </c>
      <c r="C42" s="77">
        <f t="shared" si="1"/>
        <v>0.13149305555555554</v>
      </c>
    </row>
    <row r="43" spans="1:3" ht="12.75" customHeight="1">
      <c r="A43" s="23">
        <v>41</v>
      </c>
      <c r="B43" s="25">
        <v>0.003356481481481481</v>
      </c>
      <c r="C43" s="78">
        <f t="shared" si="1"/>
        <v>0.13484953703703703</v>
      </c>
    </row>
    <row r="44" spans="1:3" ht="12.75" customHeight="1">
      <c r="A44" s="23">
        <v>42</v>
      </c>
      <c r="B44" s="25">
        <v>0.003356481481481481</v>
      </c>
      <c r="C44" s="78">
        <f>+B44+C43</f>
        <v>0.13820601851851852</v>
      </c>
    </row>
    <row r="45" spans="1:3" ht="12.75" customHeight="1">
      <c r="A45" s="82">
        <v>42.195</v>
      </c>
      <c r="B45" s="80">
        <v>0.0032407407407407406</v>
      </c>
      <c r="C45" s="83">
        <f>+B45/1000*195+C44</f>
        <v>0.13883796296296297</v>
      </c>
    </row>
    <row r="46" spans="1:3" ht="12.75" customHeight="1">
      <c r="A46" s="24"/>
      <c r="B46" s="25"/>
      <c r="C46" s="24"/>
    </row>
    <row r="47" spans="1:3" ht="12.75" customHeight="1">
      <c r="A47" s="24"/>
      <c r="B47" s="25"/>
      <c r="C47" s="24"/>
    </row>
    <row r="48" spans="1:3" ht="12.75" customHeight="1">
      <c r="A48" s="24"/>
      <c r="B48" s="25"/>
      <c r="C48" s="24"/>
    </row>
    <row r="49" spans="1:3" ht="12.75" customHeight="1">
      <c r="A49" s="24"/>
      <c r="B49" s="25"/>
      <c r="C49" s="24"/>
    </row>
  </sheetData>
  <printOptions/>
  <pageMargins left="2.79" right="0.75" top="1.59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Shoesellers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 Bundy</dc:creator>
  <cp:keywords/>
  <dc:description/>
  <cp:lastModifiedBy>www.uli-sauer.de</cp:lastModifiedBy>
  <cp:lastPrinted>2008-04-09T20:07:40Z</cp:lastPrinted>
  <dcterms:created xsi:type="dcterms:W3CDTF">1999-03-16T22:30:06Z</dcterms:created>
  <dcterms:modified xsi:type="dcterms:W3CDTF">2008-04-14T23:20:01Z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