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1340" windowHeight="6600" activeTab="0"/>
  </bookViews>
  <sheets>
    <sheet name="training schedule" sheetId="1" r:id="rId1"/>
    <sheet name="analyse" sheetId="2" r:id="rId2"/>
    <sheet name="race pace 1" sheetId="3" r:id="rId3"/>
    <sheet name="race pace 2" sheetId="4" r:id="rId4"/>
  </sheets>
  <definedNames>
    <definedName name="_Fill" hidden="1">'training schedule'!#REF!</definedName>
    <definedName name="_xlnm.Print_Area" localSheetId="0">'training schedule'!$A$1:$U$47</definedName>
  </definedNames>
  <calcPr fullCalcOnLoad="1"/>
</workbook>
</file>

<file path=xl/sharedStrings.xml><?xml version="1.0" encoding="utf-8"?>
<sst xmlns="http://schemas.openxmlformats.org/spreadsheetml/2006/main" count="258" uniqueCount="92">
  <si>
    <t>kg</t>
  </si>
  <si>
    <t>Mubu</t>
  </si>
  <si>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</si>
  <si>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</si>
  <si>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</si>
  <si>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</si>
  <si>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</si>
  <si>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</si>
  <si>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</si>
  <si>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</si>
  <si>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</si>
  <si>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</si>
  <si>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</si>
  <si>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-</t>
  </si>
  <si>
    <t>R</t>
  </si>
  <si>
    <t>schedule</t>
  </si>
  <si>
    <t>target: 3:25</t>
  </si>
  <si>
    <t>average week 12 to 1</t>
  </si>
  <si>
    <t>L</t>
  </si>
  <si>
    <t>M</t>
  </si>
  <si>
    <t>S</t>
  </si>
  <si>
    <t>R = recovery / L = slow / M = medium / S = speed / W = Race / Mubu = gym</t>
  </si>
  <si>
    <t>distances in K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</si>
  <si>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</si>
  <si>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</si>
  <si>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</si>
  <si>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</si>
  <si>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</si>
  <si>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</si>
  <si>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</si>
  <si>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</si>
  <si>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</si>
  <si>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</si>
  <si>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</si>
  <si>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</si>
  <si>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</si>
  <si>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>12 week schedule</t>
  </si>
  <si>
    <t>Endzeit</t>
  </si>
  <si>
    <t xml:space="preserve"> </t>
  </si>
  <si>
    <t>miles</t>
  </si>
  <si>
    <t>diff. to schedule so far</t>
  </si>
  <si>
    <t>Umrechnung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</si>
  <si>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</si>
  <si>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</si>
  <si>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</si>
  <si>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</si>
  <si>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</si>
  <si>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</si>
  <si>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</si>
  <si>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</si>
  <si>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</si>
  <si>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</si>
  <si>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</si>
  <si>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</si>
  <si>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</si>
  <si>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</si>
  <si>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</si>
  <si>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</si>
  <si>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</si>
  <si>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</si>
  <si>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</si>
  <si>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</si>
  <si>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</si>
  <si>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</si>
  <si>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</si>
  <si>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</si>
  <si>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</si>
  <si>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</si>
  <si>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</si>
  <si>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Training für Frankfurt 2003</t>
  </si>
  <si>
    <t>Waldlauf Menden</t>
  </si>
  <si>
    <t>RKL</t>
  </si>
  <si>
    <t>Radeln</t>
  </si>
  <si>
    <t>Rad 49</t>
  </si>
  <si>
    <t>Durch die Haard 20</t>
  </si>
  <si>
    <t>22:33-22:51-23:35-23:55</t>
  </si>
  <si>
    <t>Anreise Brenta</t>
  </si>
  <si>
    <t>Samstag in Schliersee</t>
  </si>
  <si>
    <t>Wandern</t>
  </si>
  <si>
    <t>erschöpft von Bergtour</t>
  </si>
  <si>
    <t>Jubiläum</t>
  </si>
  <si>
    <t>Brenta Klettersteige</t>
  </si>
  <si>
    <t>trident</t>
  </si>
  <si>
    <t>Anreise</t>
  </si>
  <si>
    <t>Windsor Half Marathon</t>
  </si>
  <si>
    <t>Staffellauf Sprockhövel 8,8</t>
  </si>
  <si>
    <t>Achenseelauf 23,2</t>
  </si>
  <si>
    <t>Geb.</t>
  </si>
  <si>
    <t>Soest Stadtlauf 10, 41:39</t>
  </si>
  <si>
    <t>Coesfeld 5, 19:41</t>
  </si>
  <si>
    <t>Armband-Aufkleber</t>
  </si>
  <si>
    <t>Frankfurt-Marathon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</si>
</sst>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</numFmts>
  <fonts count="28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0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53"/>
      <name val="Arial MT"/>
      <family val="0"/>
    </font>
    <font>
      <sz val="12"/>
      <name val="Arial"/>
      <family val="2"/>
    </font>
    <font>
      <sz val="19.7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5" fontId="0" fillId="0" borderId="9" xfId="0" applyNumberFormat="1" applyBorder="1" applyAlignment="1" applyProtection="1">
      <alignment/>
      <protection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12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46" fontId="0" fillId="0" borderId="15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46" fontId="3" fillId="0" borderId="12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1" fillId="2" borderId="18" xfId="0" applyFont="1" applyFill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Continuous" vertical="center"/>
    </xf>
    <xf numFmtId="0" fontId="1" fillId="2" borderId="18" xfId="0" applyFont="1" applyFill="1" applyBorder="1" applyAlignment="1">
      <alignment horizontal="centerContinuous" vertical="center" wrapText="1"/>
    </xf>
    <xf numFmtId="0" fontId="1" fillId="2" borderId="2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177" fontId="7" fillId="2" borderId="18" xfId="0" applyNumberFormat="1" applyFont="1" applyFill="1" applyBorder="1" applyAlignment="1" applyProtection="1">
      <alignment horizontal="center"/>
      <protection/>
    </xf>
    <xf numFmtId="197" fontId="7" fillId="2" borderId="18" xfId="0" applyNumberFormat="1" applyFont="1" applyFill="1" applyBorder="1" applyAlignment="1" applyProtection="1">
      <alignment horizontal="center"/>
      <protection/>
    </xf>
    <xf numFmtId="174" fontId="14" fillId="4" borderId="19" xfId="0" applyNumberFormat="1" applyFont="1" applyFill="1" applyBorder="1" applyAlignment="1" applyProtection="1">
      <alignment horizontal="center"/>
      <protection/>
    </xf>
    <xf numFmtId="174" fontId="1" fillId="4" borderId="18" xfId="0" applyNumberFormat="1" applyFont="1" applyFill="1" applyBorder="1" applyAlignment="1" applyProtection="1">
      <alignment horizontal="center"/>
      <protection/>
    </xf>
    <xf numFmtId="174" fontId="1" fillId="4" borderId="18" xfId="0" applyNumberFormat="1" applyFont="1" applyFill="1" applyBorder="1" applyAlignment="1" applyProtection="1" quotePrefix="1">
      <alignment horizontal="center"/>
      <protection/>
    </xf>
    <xf numFmtId="174" fontId="1" fillId="4" borderId="19" xfId="0" applyNumberFormat="1" applyFont="1" applyFill="1" applyBorder="1" applyAlignment="1" applyProtection="1">
      <alignment horizontal="center"/>
      <protection/>
    </xf>
    <xf numFmtId="196" fontId="7" fillId="4" borderId="18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4" fontId="1" fillId="4" borderId="20" xfId="0" applyNumberFormat="1" applyFont="1" applyFill="1" applyBorder="1" applyAlignment="1">
      <alignment horizontal="center"/>
    </xf>
    <xf numFmtId="174" fontId="1" fillId="2" borderId="21" xfId="0" applyNumberFormat="1" applyFont="1" applyFill="1" applyBorder="1" applyAlignment="1">
      <alignment/>
    </xf>
    <xf numFmtId="177" fontId="7" fillId="2" borderId="22" xfId="0" applyNumberFormat="1" applyFont="1" applyFill="1" applyBorder="1" applyAlignment="1" applyProtection="1">
      <alignment horizontal="center"/>
      <protection/>
    </xf>
    <xf numFmtId="197" fontId="7" fillId="2" borderId="22" xfId="0" applyNumberFormat="1" applyFont="1" applyFill="1" applyBorder="1" applyAlignment="1" applyProtection="1">
      <alignment horizontal="center"/>
      <protection/>
    </xf>
    <xf numFmtId="197" fontId="7" fillId="2" borderId="23" xfId="0" applyNumberFormat="1" applyFont="1" applyFill="1" applyBorder="1" applyAlignment="1" applyProtection="1">
      <alignment horizontal="center"/>
      <protection/>
    </xf>
    <xf numFmtId="174" fontId="1" fillId="4" borderId="22" xfId="0" applyNumberFormat="1" applyFont="1" applyFill="1" applyBorder="1" applyAlignment="1" applyProtection="1">
      <alignment horizontal="center"/>
      <protection/>
    </xf>
    <xf numFmtId="174" fontId="14" fillId="4" borderId="24" xfId="0" applyNumberFormat="1" applyFont="1" applyFill="1" applyBorder="1" applyAlignment="1" applyProtection="1">
      <alignment horizontal="center"/>
      <protection/>
    </xf>
    <xf numFmtId="196" fontId="7" fillId="4" borderId="22" xfId="0" applyNumberFormat="1" applyFont="1" applyFill="1" applyBorder="1" applyAlignment="1" applyProtection="1">
      <alignment horizontal="right"/>
      <protection/>
    </xf>
    <xf numFmtId="174" fontId="1" fillId="4" borderId="25" xfId="0" applyNumberFormat="1" applyFont="1" applyFill="1" applyBorder="1" applyAlignment="1">
      <alignment horizontal="center"/>
    </xf>
    <xf numFmtId="174" fontId="14" fillId="3" borderId="26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  <xf numFmtId="174" fontId="1" fillId="3" borderId="27" xfId="0" applyNumberFormat="1" applyFont="1" applyFill="1" applyBorder="1" applyAlignment="1" applyProtection="1">
      <alignment horizontal="center"/>
      <protection/>
    </xf>
    <xf numFmtId="174" fontId="14" fillId="3" borderId="28" xfId="0" applyNumberFormat="1" applyFont="1" applyFill="1" applyBorder="1" applyAlignment="1" applyProtection="1">
      <alignment horizontal="center"/>
      <protection/>
    </xf>
    <xf numFmtId="196" fontId="7" fillId="3" borderId="29" xfId="0" applyNumberFormat="1" applyFont="1" applyFill="1" applyBorder="1" applyAlignment="1" applyProtection="1">
      <alignment horizontal="right"/>
      <protection/>
    </xf>
    <xf numFmtId="174" fontId="1" fillId="4" borderId="30" xfId="0" applyNumberFormat="1" applyFont="1" applyFill="1" applyBorder="1" applyAlignment="1">
      <alignment horizontal="center"/>
    </xf>
    <xf numFmtId="179" fontId="14" fillId="3" borderId="31" xfId="0" applyNumberFormat="1" applyFont="1" applyFill="1" applyBorder="1" applyAlignment="1">
      <alignment horizontal="center"/>
    </xf>
    <xf numFmtId="174" fontId="14" fillId="3" borderId="31" xfId="0" applyNumberFormat="1" applyFont="1" applyFill="1" applyBorder="1" applyAlignment="1">
      <alignment horizontal="center"/>
    </xf>
    <xf numFmtId="179" fontId="1" fillId="2" borderId="20" xfId="0" applyNumberFormat="1" applyFont="1" applyFill="1" applyBorder="1" applyAlignment="1">
      <alignment horizontal="center"/>
    </xf>
    <xf numFmtId="174" fontId="1" fillId="4" borderId="32" xfId="0" applyNumberFormat="1" applyFont="1" applyFill="1" applyBorder="1" applyAlignment="1" applyProtection="1">
      <alignment horizontal="center"/>
      <protection/>
    </xf>
    <xf numFmtId="174" fontId="14" fillId="4" borderId="33" xfId="0" applyNumberFormat="1" applyFont="1" applyFill="1" applyBorder="1" applyAlignment="1" applyProtection="1">
      <alignment horizontal="center"/>
      <protection/>
    </xf>
    <xf numFmtId="196" fontId="7" fillId="4" borderId="34" xfId="0" applyNumberFormat="1" applyFont="1" applyFill="1" applyBorder="1" applyAlignment="1" applyProtection="1">
      <alignment horizontal="right"/>
      <protection/>
    </xf>
    <xf numFmtId="179" fontId="14" fillId="3" borderId="35" xfId="0" applyNumberFormat="1" applyFont="1" applyFill="1" applyBorder="1" applyAlignment="1">
      <alignment horizontal="center"/>
    </xf>
    <xf numFmtId="174" fontId="14" fillId="3" borderId="35" xfId="0" applyNumberFormat="1" applyFont="1" applyFill="1" applyBorder="1" applyAlignment="1">
      <alignment horizontal="center"/>
    </xf>
    <xf numFmtId="174" fontId="1" fillId="3" borderId="36" xfId="0" applyNumberFormat="1" applyFont="1" applyFill="1" applyBorder="1" applyAlignment="1" applyProtection="1">
      <alignment horizontal="center"/>
      <protection/>
    </xf>
    <xf numFmtId="174" fontId="1" fillId="3" borderId="36" xfId="0" applyNumberFormat="1" applyFont="1" applyFill="1" applyBorder="1" applyAlignment="1" applyProtection="1" quotePrefix="1">
      <alignment horizontal="center"/>
      <protection/>
    </xf>
    <xf numFmtId="174" fontId="1" fillId="3" borderId="26" xfId="0" applyNumberFormat="1" applyFont="1" applyFill="1" applyBorder="1" applyAlignment="1" applyProtection="1" quotePrefix="1">
      <alignment horizontal="center"/>
      <protection/>
    </xf>
    <xf numFmtId="174" fontId="13" fillId="3" borderId="26" xfId="0" applyNumberFormat="1" applyFont="1" applyFill="1" applyBorder="1" applyAlignment="1" applyProtection="1">
      <alignment horizontal="center"/>
      <protection/>
    </xf>
    <xf numFmtId="196" fontId="7" fillId="3" borderId="37" xfId="0" applyNumberFormat="1" applyFont="1" applyFill="1" applyBorder="1" applyAlignment="1" applyProtection="1">
      <alignment horizontal="right"/>
      <protection/>
    </xf>
    <xf numFmtId="179" fontId="14" fillId="3" borderId="20" xfId="0" applyNumberFormat="1" applyFont="1" applyFill="1" applyBorder="1" applyAlignment="1">
      <alignment horizontal="center"/>
    </xf>
    <xf numFmtId="174" fontId="14" fillId="3" borderId="2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 horizontal="center"/>
    </xf>
    <xf numFmtId="179" fontId="1" fillId="2" borderId="0" xfId="0" applyNumberFormat="1" applyFont="1" applyFill="1" applyAlignment="1">
      <alignment horizontal="center"/>
    </xf>
    <xf numFmtId="177" fontId="1" fillId="3" borderId="2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9" xfId="0" applyFont="1" applyFill="1" applyBorder="1" applyAlignment="1">
      <alignment/>
    </xf>
    <xf numFmtId="179" fontId="15" fillId="2" borderId="0" xfId="0" applyNumberFormat="1" applyFont="1" applyFill="1" applyAlignment="1">
      <alignment horizontal="left"/>
    </xf>
    <xf numFmtId="0" fontId="1" fillId="2" borderId="40" xfId="0" applyFont="1" applyFill="1" applyBorder="1" applyAlignment="1">
      <alignment/>
    </xf>
    <xf numFmtId="179" fontId="15" fillId="2" borderId="0" xfId="0" applyNumberFormat="1" applyFont="1" applyFill="1" applyBorder="1" applyAlignment="1">
      <alignment horizontal="left"/>
    </xf>
    <xf numFmtId="0" fontId="1" fillId="2" borderId="4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0" xfId="0" applyFont="1" applyFill="1" applyAlignment="1" quotePrefix="1">
      <alignment/>
    </xf>
    <xf numFmtId="47" fontId="1" fillId="2" borderId="0" xfId="0" applyNumberFormat="1" applyFont="1" applyFill="1" applyAlignment="1">
      <alignment horizontal="left"/>
    </xf>
    <xf numFmtId="1" fontId="1" fillId="2" borderId="40" xfId="0" applyNumberFormat="1" applyFont="1" applyFill="1" applyBorder="1" applyAlignment="1">
      <alignment/>
    </xf>
    <xf numFmtId="1" fontId="1" fillId="2" borderId="41" xfId="0" applyNumberFormat="1" applyFont="1" applyFill="1" applyBorder="1" applyAlignment="1">
      <alignment/>
    </xf>
    <xf numFmtId="20" fontId="15" fillId="2" borderId="0" xfId="0" applyNumberFormat="1" applyFont="1" applyFill="1" applyAlignment="1">
      <alignment horizontal="left"/>
    </xf>
    <xf numFmtId="179" fontId="1" fillId="2" borderId="0" xfId="0" applyNumberFormat="1" applyFont="1" applyFill="1" applyAlignment="1">
      <alignment horizontal="left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/>
    </xf>
    <xf numFmtId="20" fontId="15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center"/>
    </xf>
    <xf numFmtId="0" fontId="1" fillId="2" borderId="40" xfId="0" applyFont="1" applyFill="1" applyBorder="1" applyAlignment="1" quotePrefix="1">
      <alignment/>
    </xf>
    <xf numFmtId="0" fontId="1" fillId="2" borderId="11" xfId="0" applyFont="1" applyFill="1" applyBorder="1" applyAlignment="1" quotePrefix="1">
      <alignment/>
    </xf>
    <xf numFmtId="0" fontId="4" fillId="2" borderId="20" xfId="0" applyFont="1" applyFill="1" applyBorder="1" applyAlignment="1">
      <alignment horizontal="left" vertical="top" indent="1"/>
    </xf>
    <xf numFmtId="0" fontId="4" fillId="2" borderId="42" xfId="0" applyFont="1" applyFill="1" applyBorder="1" applyAlignment="1">
      <alignment horizontal="left" indent="1"/>
    </xf>
    <xf numFmtId="0" fontId="4" fillId="2" borderId="43" xfId="0" applyFont="1" applyFill="1" applyBorder="1" applyAlignment="1">
      <alignment horizontal="left" indent="1"/>
    </xf>
    <xf numFmtId="0" fontId="4" fillId="2" borderId="30" xfId="0" applyFont="1" applyFill="1" applyBorder="1" applyAlignment="1">
      <alignment horizontal="left" indent="1"/>
    </xf>
    <xf numFmtId="0" fontId="4" fillId="2" borderId="31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Alignment="1">
      <alignment horizontal="left" indent="1"/>
    </xf>
    <xf numFmtId="179" fontId="14" fillId="2" borderId="20" xfId="0" applyNumberFormat="1" applyFont="1" applyFill="1" applyBorder="1" applyAlignment="1">
      <alignment horizontal="right"/>
    </xf>
    <xf numFmtId="179" fontId="14" fillId="2" borderId="25" xfId="0" applyNumberFormat="1" applyFont="1" applyFill="1" applyBorder="1" applyAlignment="1">
      <alignment horizontal="right"/>
    </xf>
    <xf numFmtId="174" fontId="1" fillId="4" borderId="33" xfId="0" applyNumberFormat="1" applyFont="1" applyFill="1" applyBorder="1" applyAlignment="1" applyProtection="1">
      <alignment horizontal="center"/>
      <protection/>
    </xf>
    <xf numFmtId="174" fontId="1" fillId="4" borderId="32" xfId="0" applyNumberFormat="1" applyFont="1" applyFill="1" applyBorder="1" applyAlignment="1" applyProtection="1" quotePrefix="1">
      <alignment horizontal="center"/>
      <protection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99" fontId="4" fillId="4" borderId="20" xfId="0" applyNumberFormat="1" applyFont="1" applyFill="1" applyBorder="1" applyAlignment="1">
      <alignment horizontal="center"/>
    </xf>
    <xf numFmtId="21" fontId="4" fillId="2" borderId="30" xfId="0" applyNumberFormat="1" applyFont="1" applyFill="1" applyBorder="1" applyAlignment="1">
      <alignment horizontal="left" indent="1"/>
    </xf>
    <xf numFmtId="179" fontId="7" fillId="3" borderId="2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186" fontId="16" fillId="0" borderId="30" xfId="0" applyNumberFormat="1" applyFont="1" applyFill="1" applyBorder="1" applyAlignment="1">
      <alignment/>
    </xf>
    <xf numFmtId="0" fontId="0" fillId="0" borderId="35" xfId="0" applyBorder="1" applyAlignment="1">
      <alignment/>
    </xf>
    <xf numFmtId="186" fontId="0" fillId="0" borderId="31" xfId="0" applyNumberFormat="1" applyFill="1" applyBorder="1" applyAlignment="1" applyProtection="1">
      <alignment/>
      <protection/>
    </xf>
    <xf numFmtId="186" fontId="0" fillId="0" borderId="30" xfId="0" applyNumberFormat="1" applyFill="1" applyBorder="1" applyAlignment="1" applyProtection="1">
      <alignment/>
      <protection/>
    </xf>
    <xf numFmtId="0" fontId="0" fillId="0" borderId="30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46" fontId="0" fillId="0" borderId="41" xfId="0" applyNumberFormat="1" applyBorder="1" applyAlignment="1" applyProtection="1">
      <alignment/>
      <protection/>
    </xf>
    <xf numFmtId="46" fontId="0" fillId="0" borderId="44" xfId="0" applyNumberFormat="1" applyBorder="1" applyAlignment="1" applyProtection="1">
      <alignment/>
      <protection/>
    </xf>
    <xf numFmtId="176" fontId="0" fillId="0" borderId="45" xfId="0" applyNumberFormat="1" applyBorder="1" applyAlignment="1" applyProtection="1">
      <alignment/>
      <protection/>
    </xf>
    <xf numFmtId="0" fontId="0" fillId="0" borderId="46" xfId="0" applyBorder="1" applyAlignment="1">
      <alignment/>
    </xf>
    <xf numFmtId="174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176" fontId="0" fillId="0" borderId="46" xfId="0" applyNumberFormat="1" applyBorder="1" applyAlignment="1" applyProtection="1">
      <alignment/>
      <protection/>
    </xf>
    <xf numFmtId="46" fontId="0" fillId="0" borderId="31" xfId="0" applyNumberFormat="1" applyBorder="1" applyAlignment="1" applyProtection="1">
      <alignment/>
      <protection/>
    </xf>
    <xf numFmtId="46" fontId="0" fillId="0" borderId="49" xfId="0" applyNumberFormat="1" applyBorder="1" applyAlignment="1" applyProtection="1">
      <alignment/>
      <protection/>
    </xf>
    <xf numFmtId="176" fontId="0" fillId="0" borderId="50" xfId="0" applyNumberFormat="1" applyBorder="1" applyAlignment="1" applyProtection="1">
      <alignment/>
      <protection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6" fontId="0" fillId="0" borderId="44" xfId="0" applyNumberFormat="1" applyBorder="1" applyAlignment="1" applyProtection="1">
      <alignment/>
      <protection/>
    </xf>
    <xf numFmtId="0" fontId="0" fillId="0" borderId="47" xfId="0" applyBorder="1" applyAlignment="1">
      <alignment/>
    </xf>
    <xf numFmtId="176" fontId="0" fillId="0" borderId="49" xfId="0" applyNumberFormat="1" applyBorder="1" applyAlignment="1" applyProtection="1">
      <alignment/>
      <protection/>
    </xf>
    <xf numFmtId="46" fontId="0" fillId="0" borderId="17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2" fontId="0" fillId="0" borderId="46" xfId="0" applyNumberFormat="1" applyBorder="1" applyAlignment="1">
      <alignment/>
    </xf>
    <xf numFmtId="46" fontId="0" fillId="0" borderId="30" xfId="0" applyNumberFormat="1" applyBorder="1" applyAlignment="1" applyProtection="1">
      <alignment/>
      <protection/>
    </xf>
    <xf numFmtId="46" fontId="0" fillId="0" borderId="13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51" xfId="0" applyNumberFormat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2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2" xfId="0" applyNumberFormat="1" applyBorder="1" applyAlignment="1">
      <alignment horizontal="center"/>
    </xf>
    <xf numFmtId="174" fontId="4" fillId="4" borderId="33" xfId="0" applyNumberFormat="1" applyFont="1" applyFill="1" applyBorder="1" applyAlignment="1" applyProtection="1">
      <alignment horizontal="center"/>
      <protection/>
    </xf>
    <xf numFmtId="174" fontId="1" fillId="3" borderId="26" xfId="0" applyNumberFormat="1" applyFont="1" applyFill="1" applyBorder="1" applyAlignment="1" applyProtection="1">
      <alignment horizontal="center"/>
      <protection/>
    </xf>
    <xf numFmtId="174" fontId="1" fillId="3" borderId="27" xfId="0" applyNumberFormat="1" applyFont="1" applyFill="1" applyBorder="1" applyAlignment="1" applyProtection="1" quotePrefix="1">
      <alignment horizontal="center"/>
      <protection/>
    </xf>
    <xf numFmtId="174" fontId="1" fillId="4" borderId="22" xfId="0" applyNumberFormat="1" applyFont="1" applyFill="1" applyBorder="1" applyAlignment="1" applyProtection="1" quotePrefix="1">
      <alignment horizontal="center"/>
      <protection/>
    </xf>
    <xf numFmtId="174" fontId="1" fillId="4" borderId="24" xfId="0" applyNumberFormat="1" applyFont="1" applyFill="1" applyBorder="1" applyAlignment="1" applyProtection="1">
      <alignment horizontal="center"/>
      <protection/>
    </xf>
    <xf numFmtId="174" fontId="1" fillId="3" borderId="28" xfId="0" applyNumberFormat="1" applyFont="1" applyFill="1" applyBorder="1" applyAlignment="1" applyProtection="1">
      <alignment horizontal="center"/>
      <protection/>
    </xf>
    <xf numFmtId="174" fontId="1" fillId="3" borderId="36" xfId="0" applyNumberFormat="1" applyFont="1" applyFill="1" applyBorder="1" applyAlignment="1" applyProtection="1">
      <alignment horizontal="left"/>
      <protection/>
    </xf>
    <xf numFmtId="174" fontId="4" fillId="4" borderId="32" xfId="0" applyNumberFormat="1" applyFont="1" applyFill="1" applyBorder="1" applyAlignment="1" applyProtection="1" quotePrefix="1">
      <alignment horizontal="center"/>
      <protection/>
    </xf>
    <xf numFmtId="174" fontId="1" fillId="4" borderId="32" xfId="0" applyNumberFormat="1" applyFont="1" applyFill="1" applyBorder="1" applyAlignment="1" applyProtection="1">
      <alignment horizontal="left"/>
      <protection/>
    </xf>
    <xf numFmtId="20" fontId="4" fillId="2" borderId="30" xfId="0" applyNumberFormat="1" applyFont="1" applyFill="1" applyBorder="1" applyAlignment="1">
      <alignment horizontal="left" indent="1"/>
    </xf>
    <xf numFmtId="174" fontId="1" fillId="4" borderId="52" xfId="0" applyNumberFormat="1" applyFont="1" applyFill="1" applyBorder="1" applyAlignment="1" applyProtection="1">
      <alignment horizontal="center"/>
      <protection/>
    </xf>
    <xf numFmtId="174" fontId="1" fillId="4" borderId="7" xfId="0" applyNumberFormat="1" applyFont="1" applyFill="1" applyBorder="1" applyAlignment="1" applyProtection="1">
      <alignment horizontal="center"/>
      <protection/>
    </xf>
    <xf numFmtId="174" fontId="13" fillId="4" borderId="24" xfId="0" applyNumberFormat="1" applyFont="1" applyFill="1" applyBorder="1" applyAlignment="1" applyProtection="1">
      <alignment horizontal="center"/>
      <protection/>
    </xf>
    <xf numFmtId="174" fontId="13" fillId="4" borderId="33" xfId="0" applyNumberFormat="1" applyFont="1" applyFill="1" applyBorder="1" applyAlignment="1" applyProtection="1">
      <alignment horizontal="center"/>
      <protection/>
    </xf>
    <xf numFmtId="179" fontId="7" fillId="4" borderId="20" xfId="0" applyNumberFormat="1" applyFont="1" applyFill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2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5" borderId="0" xfId="0" applyNumberFormat="1" applyFont="1" applyFill="1" applyAlignment="1">
      <alignment/>
    </xf>
    <xf numFmtId="46" fontId="3" fillId="5" borderId="0" xfId="0" applyNumberFormat="1" applyFont="1" applyFill="1" applyBorder="1" applyAlignment="1" applyProtection="1">
      <alignment/>
      <protection/>
    </xf>
    <xf numFmtId="200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200" fontId="3" fillId="5" borderId="0" xfId="0" applyNumberFormat="1" applyFont="1" applyFill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10" fillId="4" borderId="0" xfId="0" applyFont="1" applyFill="1" applyAlignment="1">
      <alignment/>
    </xf>
    <xf numFmtId="200" fontId="10" fillId="4" borderId="0" xfId="0" applyNumberFormat="1" applyFont="1" applyFill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174" fontId="1" fillId="4" borderId="18" xfId="0" applyNumberFormat="1" applyFont="1" applyFill="1" applyBorder="1" applyAlignment="1" applyProtection="1">
      <alignment horizontal="center"/>
      <protection/>
    </xf>
    <xf numFmtId="174" fontId="1" fillId="4" borderId="19" xfId="0" applyNumberFormat="1" applyFont="1" applyFill="1" applyBorder="1" applyAlignment="1" applyProtection="1">
      <alignment horizontal="center"/>
      <protection/>
    </xf>
    <xf numFmtId="174" fontId="1" fillId="4" borderId="22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Alignment="1">
      <alignment/>
    </xf>
    <xf numFmtId="45" fontId="0" fillId="0" borderId="0" xfId="0" applyNumberFormat="1" applyBorder="1" applyAlignment="1">
      <alignment horizontal="center"/>
    </xf>
    <xf numFmtId="179" fontId="14" fillId="2" borderId="30" xfId="0" applyNumberFormat="1" applyFont="1" applyFill="1" applyBorder="1" applyAlignment="1">
      <alignment horizontal="right" vertical="center"/>
    </xf>
    <xf numFmtId="174" fontId="1" fillId="4" borderId="32" xfId="0" applyNumberFormat="1" applyFont="1" applyFill="1" applyBorder="1" applyAlignment="1" applyProtection="1">
      <alignment horizontal="center"/>
      <protection/>
    </xf>
    <xf numFmtId="174" fontId="1" fillId="4" borderId="12" xfId="0" applyNumberFormat="1" applyFont="1" applyFill="1" applyBorder="1" applyAlignment="1" applyProtection="1" quotePrefix="1">
      <alignment horizontal="center"/>
      <protection/>
    </xf>
    <xf numFmtId="174" fontId="1" fillId="3" borderId="36" xfId="0" applyNumberFormat="1" applyFont="1" applyFill="1" applyBorder="1" applyAlignment="1" applyProtection="1">
      <alignment horizontal="center"/>
      <protection/>
    </xf>
    <xf numFmtId="174" fontId="1" fillId="4" borderId="33" xfId="0" applyNumberFormat="1" applyFont="1" applyFill="1" applyBorder="1" applyAlignment="1" applyProtection="1">
      <alignment horizontal="center"/>
      <protection/>
    </xf>
    <xf numFmtId="179" fontId="14" fillId="2" borderId="43" xfId="0" applyNumberFormat="1" applyFont="1" applyFill="1" applyBorder="1" applyAlignment="1">
      <alignment horizontal="right" vertical="center"/>
    </xf>
    <xf numFmtId="174" fontId="1" fillId="3" borderId="27" xfId="0" applyNumberFormat="1" applyFont="1" applyFill="1" applyBorder="1" applyAlignment="1" applyProtection="1" quotePrefix="1">
      <alignment horizontal="center"/>
      <protection/>
    </xf>
    <xf numFmtId="174" fontId="1" fillId="3" borderId="28" xfId="0" applyNumberFormat="1" applyFont="1" applyFill="1" applyBorder="1" applyAlignment="1" applyProtection="1">
      <alignment horizontal="center"/>
      <protection/>
    </xf>
    <xf numFmtId="197" fontId="7" fillId="2" borderId="26" xfId="0" applyNumberFormat="1" applyFont="1" applyFill="1" applyBorder="1" applyAlignment="1" applyProtection="1">
      <alignment horizontal="center" vertical="center"/>
      <protection/>
    </xf>
    <xf numFmtId="197" fontId="7" fillId="2" borderId="33" xfId="0" applyNumberFormat="1" applyFont="1" applyFill="1" applyBorder="1" applyAlignment="1" applyProtection="1">
      <alignment horizontal="center" vertical="center"/>
      <protection/>
    </xf>
    <xf numFmtId="177" fontId="7" fillId="2" borderId="53" xfId="0" applyNumberFormat="1" applyFont="1" applyFill="1" applyBorder="1" applyAlignment="1" applyProtection="1">
      <alignment horizontal="center" vertical="center"/>
      <protection/>
    </xf>
    <xf numFmtId="177" fontId="7" fillId="2" borderId="54" xfId="0" applyNumberFormat="1" applyFont="1" applyFill="1" applyBorder="1" applyAlignment="1" applyProtection="1">
      <alignment horizontal="center" vertical="center"/>
      <protection/>
    </xf>
    <xf numFmtId="20" fontId="14" fillId="0" borderId="0" xfId="0" applyNumberFormat="1" applyFont="1" applyFill="1" applyBorder="1" applyAlignment="1">
      <alignment horizontal="center"/>
    </xf>
    <xf numFmtId="20" fontId="14" fillId="0" borderId="41" xfId="0" applyNumberFormat="1" applyFont="1" applyFill="1" applyBorder="1" applyAlignment="1">
      <alignment horizontal="center"/>
    </xf>
    <xf numFmtId="20" fontId="14" fillId="0" borderId="12" xfId="0" applyNumberFormat="1" applyFont="1" applyFill="1" applyBorder="1" applyAlignment="1">
      <alignment horizontal="center"/>
    </xf>
    <xf numFmtId="20" fontId="14" fillId="0" borderId="13" xfId="0" applyNumberFormat="1" applyFont="1" applyFill="1" applyBorder="1" applyAlignment="1">
      <alignment horizontal="center"/>
    </xf>
    <xf numFmtId="20" fontId="15" fillId="6" borderId="9" xfId="0" applyNumberFormat="1" applyFont="1" applyFill="1" applyBorder="1" applyAlignment="1">
      <alignment horizontal="center"/>
    </xf>
    <xf numFmtId="20" fontId="15" fillId="6" borderId="10" xfId="0" applyNumberFormat="1" applyFont="1" applyFill="1" applyBorder="1" applyAlignment="1">
      <alignment horizontal="center"/>
    </xf>
    <xf numFmtId="179" fontId="1" fillId="2" borderId="0" xfId="0" applyNumberFormat="1" applyFont="1" applyFill="1" applyBorder="1" applyAlignment="1">
      <alignment horizontal="center"/>
    </xf>
    <xf numFmtId="179" fontId="1" fillId="2" borderId="41" xfId="0" applyNumberFormat="1" applyFont="1" applyFill="1" applyBorder="1" applyAlignment="1">
      <alignment horizontal="center"/>
    </xf>
    <xf numFmtId="183" fontId="1" fillId="2" borderId="11" xfId="19" applyNumberFormat="1" applyFont="1" applyFill="1" applyBorder="1" applyAlignment="1">
      <alignment horizontal="left"/>
    </xf>
    <xf numFmtId="183" fontId="1" fillId="2" borderId="12" xfId="19" applyNumberFormat="1" applyFont="1" applyFill="1" applyBorder="1" applyAlignment="1">
      <alignment horizontal="left"/>
    </xf>
    <xf numFmtId="183" fontId="1" fillId="2" borderId="40" xfId="19" applyNumberFormat="1" applyFont="1" applyFill="1" applyBorder="1" applyAlignment="1">
      <alignment horizontal="left"/>
    </xf>
    <xf numFmtId="183" fontId="1" fillId="2" borderId="0" xfId="19" applyNumberFormat="1" applyFont="1" applyFill="1" applyBorder="1" applyAlignment="1">
      <alignment horizontal="left"/>
    </xf>
    <xf numFmtId="183" fontId="1" fillId="2" borderId="41" xfId="19" applyNumberFormat="1" applyFont="1" applyFill="1" applyBorder="1" applyAlignment="1">
      <alignment horizontal="center"/>
    </xf>
    <xf numFmtId="183" fontId="1" fillId="2" borderId="13" xfId="19" applyNumberFormat="1" applyFont="1" applyFill="1" applyBorder="1" applyAlignment="1">
      <alignment horizontal="center"/>
    </xf>
    <xf numFmtId="45" fontId="1" fillId="2" borderId="0" xfId="0" applyNumberFormat="1" applyFont="1" applyFill="1" applyBorder="1" applyAlignment="1">
      <alignment horizontal="center"/>
    </xf>
    <xf numFmtId="45" fontId="1" fillId="2" borderId="4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79" fontId="15" fillId="6" borderId="9" xfId="0" applyNumberFormat="1" applyFont="1" applyFill="1" applyBorder="1" applyAlignment="1">
      <alignment horizontal="center"/>
    </xf>
    <xf numFmtId="179" fontId="15" fillId="6" borderId="10" xfId="0" applyNumberFormat="1" applyFont="1" applyFill="1" applyBorder="1" applyAlignment="1">
      <alignment horizontal="center"/>
    </xf>
    <xf numFmtId="174" fontId="1" fillId="3" borderId="36" xfId="0" applyNumberFormat="1" applyFont="1" applyFill="1" applyBorder="1" applyAlignment="1" applyProtection="1">
      <alignment horizontal="left"/>
      <protection/>
    </xf>
    <xf numFmtId="174" fontId="1" fillId="3" borderId="26" xfId="0" applyNumberFormat="1" applyFont="1" applyFill="1" applyBorder="1" applyAlignment="1" applyProtection="1">
      <alignment horizontal="left"/>
      <protection/>
    </xf>
    <xf numFmtId="174" fontId="1" fillId="3" borderId="36" xfId="0" applyNumberFormat="1" applyFont="1" applyFill="1" applyBorder="1" applyAlignment="1" applyProtection="1" quotePrefix="1">
      <alignment horizontal="center"/>
      <protection/>
    </xf>
    <xf numFmtId="174" fontId="1" fillId="3" borderId="26" xfId="0" applyNumberFormat="1" applyFont="1" applyFill="1" applyBorder="1" applyAlignment="1" applyProtection="1">
      <alignment horizontal="center"/>
      <protection/>
    </xf>
    <xf numFmtId="174" fontId="1" fillId="4" borderId="32" xfId="0" applyNumberFormat="1" applyFont="1" applyFill="1" applyBorder="1" applyAlignment="1" applyProtection="1" quotePrefix="1">
      <alignment horizontal="center"/>
      <protection/>
    </xf>
    <xf numFmtId="174" fontId="1" fillId="4" borderId="33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2" borderId="35" xfId="0" applyNumberFormat="1" applyFont="1" applyFill="1" applyBorder="1" applyAlignment="1">
      <alignment horizontal="right" vertical="center"/>
    </xf>
    <xf numFmtId="174" fontId="1" fillId="4" borderId="24" xfId="0" applyNumberFormat="1" applyFont="1" applyFill="1" applyBorder="1" applyAlignment="1" applyProtection="1">
      <alignment horizontal="center"/>
      <protection/>
    </xf>
    <xf numFmtId="174" fontId="1" fillId="3" borderId="26" xfId="0" applyNumberFormat="1" applyFont="1" applyFill="1" applyBorder="1" applyAlignment="1" applyProtection="1" quotePrefix="1">
      <alignment horizontal="left"/>
      <protection/>
    </xf>
    <xf numFmtId="197" fontId="7" fillId="2" borderId="28" xfId="0" applyNumberFormat="1" applyFont="1" applyFill="1" applyBorder="1" applyAlignment="1" applyProtection="1">
      <alignment horizontal="center" vertical="center"/>
      <protection/>
    </xf>
    <xf numFmtId="174" fontId="1" fillId="3" borderId="9" xfId="0" applyNumberFormat="1" applyFont="1" applyFill="1" applyBorder="1" applyAlignment="1" applyProtection="1">
      <alignment horizontal="center"/>
      <protection/>
    </xf>
    <xf numFmtId="14" fontId="1" fillId="2" borderId="0" xfId="0" applyNumberFormat="1" applyFont="1" applyFill="1" applyAlignment="1">
      <alignment horizontal="left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177" fontId="7" fillId="2" borderId="58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done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'training schedule'!$W$6:$W$19</c:f>
              <c:numCache/>
            </c:numRef>
          </c:cat>
          <c:val>
            <c:numRef>
              <c:f>'training schedule'!$Z$6:$Z$19</c:f>
              <c:numCache/>
            </c:numRef>
          </c:val>
        </c:ser>
        <c:ser>
          <c:idx val="2"/>
          <c:order val="1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schedule'!$W$6:$W$19</c:f>
              <c:numCache/>
            </c:numRef>
          </c:cat>
          <c:val>
            <c:numRef>
              <c:f>'training schedule'!$AA$6:$AA$19</c:f>
              <c:numCache/>
            </c:numRef>
          </c:val>
        </c:ser>
        <c:gapWidth val="20"/>
        <c:axId val="10659616"/>
        <c:axId val="28827681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schedule'!$W$6:$W$19</c:f>
              <c:numCache/>
            </c:numRef>
          </c:cat>
          <c:val>
            <c:numRef>
              <c:f>'training schedule'!$Y$6:$Y$19</c:f>
              <c:numCache/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'training schedule'!$X$6:$X$19</c:f>
              <c:numCache/>
            </c:numRef>
          </c:val>
          <c:smooth val="0"/>
        </c:ser>
        <c:axId val="10659616"/>
        <c:axId val="28827681"/>
      </c:lineChart>
      <c:catAx>
        <c:axId val="10659616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827681"/>
        <c:crosses val="autoZero"/>
        <c:auto val="1"/>
        <c:lblOffset val="100"/>
        <c:noMultiLvlLbl val="0"/>
      </c:catAx>
      <c:valAx>
        <c:axId val="28827681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065961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7"/>
          <c:y val="0"/>
          <c:w val="0.3175"/>
          <c:h val="0.212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175"/>
          <c:w val="0.977"/>
          <c:h val="0.95525"/>
        </c:manualLayout>
      </c:layout>
      <c:lineChart>
        <c:grouping val="standard"/>
        <c:varyColors val="0"/>
        <c:ser>
          <c:idx val="0"/>
          <c:order val="0"/>
          <c:tx>
            <c:v>Ist-Tempo min/km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analyse!$A$27:$A$68</c:f>
              <c:numCache/>
            </c:numRef>
          </c:cat>
          <c:val>
            <c:numRef>
              <c:f>analyse!$D$27:$D$68</c:f>
              <c:numCache/>
            </c:numRef>
          </c:val>
          <c:smooth val="0"/>
        </c:ser>
        <c:ser>
          <c:idx val="1"/>
          <c:order val="1"/>
          <c:tx>
            <c:v>kum. Ist-Tempo min/km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analyse!$A$27:$A$68</c:f>
              <c:numCache/>
            </c:numRef>
          </c:cat>
          <c:val>
            <c:numRef>
              <c:f>analyse!$F$27:$F$68</c:f>
              <c:numCache/>
            </c:numRef>
          </c:val>
          <c:smooth val="0"/>
        </c:ser>
        <c:ser>
          <c:idx val="4"/>
          <c:order val="3"/>
          <c:tx>
            <c:v>Soll-Tempo Schnitt min/km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analyse!$B$27:$B$68</c:f>
              <c:numCache/>
            </c:numRef>
          </c:val>
          <c:smooth val="0"/>
        </c:ser>
        <c:marker val="1"/>
        <c:axId val="58122538"/>
        <c:axId val="53340795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analyse!$G$27:$G$68</c:f>
              <c:numCache/>
            </c:numRef>
          </c:val>
          <c:smooth val="0"/>
        </c:ser>
        <c:marker val="1"/>
        <c:axId val="10305108"/>
        <c:axId val="25637109"/>
      </c:lineChart>
      <c:catAx>
        <c:axId val="58122538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340795"/>
        <c:crossesAt val="0.002777778"/>
        <c:auto val="1"/>
        <c:lblOffset val="100"/>
        <c:noMultiLvlLbl val="0"/>
      </c:catAx>
      <c:valAx>
        <c:axId val="53340795"/>
        <c:scaling>
          <c:orientation val="minMax"/>
          <c:max val="0.0041667"/>
          <c:min val="0.0027778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8122538"/>
        <c:crossesAt val="1"/>
        <c:crossBetween val="midCat"/>
        <c:dispUnits/>
        <c:majorUnit val="0.0001736"/>
        <c:minorUnit val="0.0001736"/>
      </c:valAx>
      <c:catAx>
        <c:axId val="10305108"/>
        <c:scaling>
          <c:orientation val="minMax"/>
        </c:scaling>
        <c:axPos val="b"/>
        <c:delete val="1"/>
        <c:majorTickMark val="in"/>
        <c:minorTickMark val="none"/>
        <c:tickLblPos val="nextTo"/>
        <c:crossAx val="25637109"/>
        <c:crossesAt val="125"/>
        <c:auto val="1"/>
        <c:lblOffset val="100"/>
        <c:noMultiLvlLbl val="0"/>
      </c:catAx>
      <c:valAx>
        <c:axId val="25637109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75" b="0" i="0" u="none" baseline="0"/>
            </a:pPr>
          </a:p>
        </c:txPr>
        <c:crossAx val="10305108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99"/>
          <c:y val="0.0745"/>
          <c:w val="0.31"/>
          <c:h val="0.230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36</xdr:row>
      <xdr:rowOff>123825</xdr:rowOff>
    </xdr:from>
    <xdr:to>
      <xdr:col>16</xdr:col>
      <xdr:colOff>28575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42875" y="5876925"/>
        <a:ext cx="44958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247650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7581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D64"/>
  <sheetViews>
    <sheetView showGridLines="0" tabSelected="1" workbookViewId="0" topLeftCell="A1">
      <selection activeCell="A1" sqref="A1"/>
    </sheetView>
  </sheetViews>
  <sheetFormatPr defaultColWidth="9.77734375" defaultRowHeight="15"/>
  <cols>
    <col min="1" max="1" width="1.2265625" style="32" customWidth="1"/>
    <col min="2" max="2" width="2.77734375" style="33" bestFit="1" customWidth="1"/>
    <col min="3" max="4" width="5.77734375" style="32" customWidth="1"/>
    <col min="5" max="5" width="4.21484375" style="32" customWidth="1"/>
    <col min="6" max="6" width="1.77734375" style="33" customWidth="1"/>
    <col min="7" max="7" width="4.10546875" style="32" customWidth="1"/>
    <col min="8" max="8" width="2.3359375" style="33" customWidth="1"/>
    <col min="9" max="9" width="4.10546875" style="32" customWidth="1"/>
    <col min="10" max="10" width="2.3359375" style="33" customWidth="1"/>
    <col min="11" max="11" width="4.10546875" style="32" customWidth="1"/>
    <col min="12" max="12" width="2.3359375" style="33" customWidth="1"/>
    <col min="13" max="13" width="4.10546875" style="32" customWidth="1"/>
    <col min="14" max="14" width="2.3359375" style="33" customWidth="1"/>
    <col min="15" max="15" width="4.10546875" style="32" customWidth="1"/>
    <col min="16" max="16" width="2.3359375" style="33" customWidth="1"/>
    <col min="17" max="17" width="4.10546875" style="32" customWidth="1"/>
    <col min="18" max="18" width="2.3359375" style="33" customWidth="1"/>
    <col min="19" max="19" width="4.3359375" style="32" customWidth="1"/>
    <col min="20" max="20" width="3.77734375" style="32" customWidth="1"/>
    <col min="21" max="21" width="17.10546875" style="32" bestFit="1" customWidth="1"/>
    <col min="22" max="22" width="14.77734375" style="32" customWidth="1"/>
    <col min="23" max="23" width="11.4453125" style="32" customWidth="1"/>
    <col min="24" max="16384" width="9.77734375" style="32" customWidth="1"/>
  </cols>
  <sheetData>
    <row r="1" spans="2:20" ht="12.75">
      <c r="B1" s="120" t="s">
        <v>69</v>
      </c>
      <c r="I1" s="32" t="s">
        <v>16</v>
      </c>
      <c r="Q1" s="34" t="s">
        <v>36</v>
      </c>
      <c r="R1" s="34"/>
      <c r="S1" s="34"/>
      <c r="T1" s="34"/>
    </row>
    <row r="2" spans="2:25" ht="12.75">
      <c r="B2" s="120" t="s">
        <v>29</v>
      </c>
      <c r="D2" s="260">
        <f ca="1">TODAY()</f>
        <v>37921</v>
      </c>
      <c r="E2" s="260"/>
      <c r="H2" s="32"/>
      <c r="I2" s="31" t="s">
        <v>30</v>
      </c>
      <c r="J2" s="32"/>
      <c r="K2" s="35">
        <f>+X2-D2-1</f>
        <v>-2</v>
      </c>
      <c r="L2" s="32" t="s">
        <v>31</v>
      </c>
      <c r="N2" s="32"/>
      <c r="Q2" s="36" t="s">
        <v>32</v>
      </c>
      <c r="R2" s="36"/>
      <c r="S2" s="36"/>
      <c r="T2" s="36"/>
      <c r="X2" s="37">
        <v>37920</v>
      </c>
      <c r="Y2" s="37"/>
    </row>
    <row r="3" ht="3" customHeight="1">
      <c r="B3" s="120"/>
    </row>
    <row r="4" spans="2:19" ht="15.75" customHeight="1">
      <c r="B4" s="120" t="s">
        <v>21</v>
      </c>
      <c r="S4" s="32" t="s">
        <v>22</v>
      </c>
    </row>
    <row r="5" spans="2:238" ht="19.5" customHeight="1">
      <c r="B5" s="261" t="s">
        <v>3</v>
      </c>
      <c r="C5" s="262"/>
      <c r="D5" s="263"/>
      <c r="E5" s="38" t="s">
        <v>4</v>
      </c>
      <c r="F5" s="39"/>
      <c r="G5" s="38" t="s">
        <v>5</v>
      </c>
      <c r="H5" s="39"/>
      <c r="I5" s="38" t="s">
        <v>6</v>
      </c>
      <c r="J5" s="39"/>
      <c r="K5" s="38" t="s">
        <v>7</v>
      </c>
      <c r="L5" s="39"/>
      <c r="M5" s="38" t="s">
        <v>8</v>
      </c>
      <c r="N5" s="39"/>
      <c r="O5" s="38" t="s">
        <v>9</v>
      </c>
      <c r="P5" s="39"/>
      <c r="Q5" s="38" t="s">
        <v>10</v>
      </c>
      <c r="R5" s="39"/>
      <c r="S5" s="40" t="s">
        <v>45</v>
      </c>
      <c r="T5" s="41" t="s">
        <v>0</v>
      </c>
      <c r="U5" s="42"/>
      <c r="W5" s="42"/>
      <c r="X5" s="43" t="s">
        <v>33</v>
      </c>
      <c r="Y5" s="43" t="s">
        <v>34</v>
      </c>
      <c r="Z5" s="43" t="s">
        <v>32</v>
      </c>
      <c r="AA5" s="43" t="s">
        <v>15</v>
      </c>
      <c r="AB5" s="43" t="s">
        <v>35</v>
      </c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</row>
    <row r="6" spans="2:28" s="52" customFormat="1" ht="15" customHeight="1">
      <c r="B6" s="44">
        <v>14</v>
      </c>
      <c r="C6" s="45">
        <v>37823</v>
      </c>
      <c r="D6" s="45">
        <f>+C6+6</f>
        <v>37829</v>
      </c>
      <c r="E6" s="47" t="s">
        <v>1</v>
      </c>
      <c r="F6" s="49"/>
      <c r="G6" s="47" t="s">
        <v>13</v>
      </c>
      <c r="H6" s="49"/>
      <c r="I6" s="48" t="s">
        <v>13</v>
      </c>
      <c r="J6" s="49"/>
      <c r="K6" s="47">
        <v>10.2</v>
      </c>
      <c r="L6" s="49" t="s">
        <v>19</v>
      </c>
      <c r="M6" s="207" t="s">
        <v>1</v>
      </c>
      <c r="N6" s="208"/>
      <c r="O6" s="188">
        <v>10</v>
      </c>
      <c r="P6" s="189" t="s">
        <v>18</v>
      </c>
      <c r="Q6" s="47">
        <v>16.4</v>
      </c>
      <c r="R6" s="46" t="s">
        <v>14</v>
      </c>
      <c r="S6" s="50">
        <f aca="true" t="shared" si="0" ref="S6:S31">SUM(E6:Q6)</f>
        <v>36.599999999999994</v>
      </c>
      <c r="T6" s="121"/>
      <c r="U6" s="114"/>
      <c r="V6" s="51"/>
      <c r="W6" s="52">
        <v>14</v>
      </c>
      <c r="X6" s="53">
        <f>IF(S6&gt;0,MAX(Q6,O6,M6,K6,I6,G6,E6),"")</f>
        <v>16.4</v>
      </c>
      <c r="Y6" s="54"/>
      <c r="Z6" s="53">
        <f>+S6</f>
        <v>36.599999999999994</v>
      </c>
      <c r="AA6" s="54"/>
      <c r="AB6" s="54"/>
    </row>
    <row r="7" spans="2:28" s="52" customFormat="1" ht="15" customHeight="1" thickBot="1">
      <c r="B7" s="55">
        <v>13</v>
      </c>
      <c r="C7" s="56">
        <f>+C6+7</f>
        <v>37830</v>
      </c>
      <c r="D7" s="57">
        <f>+D6+7</f>
        <v>37836</v>
      </c>
      <c r="E7" s="58" t="s">
        <v>1</v>
      </c>
      <c r="F7" s="182"/>
      <c r="G7" s="181">
        <v>9.5</v>
      </c>
      <c r="H7" s="182" t="s">
        <v>18</v>
      </c>
      <c r="I7" s="181" t="s">
        <v>13</v>
      </c>
      <c r="J7" s="182"/>
      <c r="K7" s="181">
        <v>10</v>
      </c>
      <c r="L7" s="182" t="s">
        <v>14</v>
      </c>
      <c r="M7" s="209" t="s">
        <v>1</v>
      </c>
      <c r="N7" s="256"/>
      <c r="O7" s="58">
        <v>20</v>
      </c>
      <c r="P7" s="190" t="s">
        <v>2</v>
      </c>
      <c r="Q7" s="58">
        <v>12.5</v>
      </c>
      <c r="R7" s="59" t="s">
        <v>14</v>
      </c>
      <c r="S7" s="60">
        <f t="shared" si="0"/>
        <v>52</v>
      </c>
      <c r="T7" s="122"/>
      <c r="U7" s="115" t="s">
        <v>70</v>
      </c>
      <c r="V7" s="51"/>
      <c r="W7" s="52">
        <v>13</v>
      </c>
      <c r="X7" s="61">
        <f>IF(S7&gt;0,MAX(Q7,O7,M7,K7,I7,G7,E7),"")</f>
        <v>20</v>
      </c>
      <c r="Y7" s="54"/>
      <c r="Z7" s="61">
        <f>+S7</f>
        <v>52</v>
      </c>
      <c r="AA7" s="54"/>
      <c r="AB7" s="54"/>
    </row>
    <row r="8" spans="2:28" s="52" customFormat="1" ht="12.75" customHeight="1">
      <c r="B8" s="264">
        <v>12</v>
      </c>
      <c r="C8" s="258">
        <f>+C7+7</f>
        <v>37837</v>
      </c>
      <c r="D8" s="258">
        <f>+D7+7</f>
        <v>37843</v>
      </c>
      <c r="E8" s="64" t="s">
        <v>1</v>
      </c>
      <c r="F8" s="183"/>
      <c r="G8" s="180">
        <v>13.5</v>
      </c>
      <c r="H8" s="183" t="s">
        <v>19</v>
      </c>
      <c r="I8" s="64">
        <v>5</v>
      </c>
      <c r="J8" s="183" t="s">
        <v>14</v>
      </c>
      <c r="K8" s="64">
        <v>15.4</v>
      </c>
      <c r="L8" s="183" t="s">
        <v>18</v>
      </c>
      <c r="M8" s="218" t="s">
        <v>13</v>
      </c>
      <c r="N8" s="219"/>
      <c r="O8" s="64">
        <v>10</v>
      </c>
      <c r="P8" s="183" t="s">
        <v>14</v>
      </c>
      <c r="Q8" s="64">
        <v>16.1</v>
      </c>
      <c r="R8" s="65" t="s">
        <v>14</v>
      </c>
      <c r="S8" s="66">
        <f t="shared" si="0"/>
        <v>60</v>
      </c>
      <c r="T8" s="217">
        <v>69.3</v>
      </c>
      <c r="U8" s="116"/>
      <c r="V8" s="51"/>
      <c r="W8" s="52">
        <v>12</v>
      </c>
      <c r="X8" s="67">
        <f>IF(S9&gt;0,MAX(E9,G9,I9,K9,M9,O9,Q9),"")</f>
        <v>16.1</v>
      </c>
      <c r="Y8" s="68">
        <f>MAX(Q8,O8,M8,K8,I8,G8,E8)</f>
        <v>16.1</v>
      </c>
      <c r="Z8" s="67">
        <f>+S9</f>
        <v>58.2</v>
      </c>
      <c r="AA8" s="69">
        <f>+S8</f>
        <v>60</v>
      </c>
      <c r="AB8" s="70">
        <f>IF(+$D$2&gt;=D8,Z8-AA8,"")</f>
        <v>-1.7999999999999972</v>
      </c>
    </row>
    <row r="9" spans="2:28" s="52" customFormat="1" ht="12" customHeight="1">
      <c r="B9" s="223"/>
      <c r="C9" s="221"/>
      <c r="D9" s="221"/>
      <c r="E9" s="71" t="s">
        <v>1</v>
      </c>
      <c r="F9" s="123"/>
      <c r="G9" s="124">
        <v>13.5</v>
      </c>
      <c r="H9" s="123" t="s">
        <v>19</v>
      </c>
      <c r="I9" s="71">
        <v>5</v>
      </c>
      <c r="J9" s="123" t="s">
        <v>14</v>
      </c>
      <c r="K9" s="71">
        <v>15.6</v>
      </c>
      <c r="L9" s="123" t="s">
        <v>18</v>
      </c>
      <c r="M9" s="248" t="s">
        <v>13</v>
      </c>
      <c r="N9" s="216"/>
      <c r="O9" s="71">
        <v>8</v>
      </c>
      <c r="P9" s="123" t="s">
        <v>14</v>
      </c>
      <c r="Q9" s="71">
        <v>16.1</v>
      </c>
      <c r="R9" s="72" t="s">
        <v>18</v>
      </c>
      <c r="S9" s="73">
        <f t="shared" si="0"/>
        <v>58.2</v>
      </c>
      <c r="T9" s="212"/>
      <c r="U9" s="117"/>
      <c r="V9" s="51"/>
      <c r="W9" s="52">
        <v>11</v>
      </c>
      <c r="X9" s="53">
        <f>IF(S11&gt;0,MAX(E11,G11,I11,K11,M11,O11,Q11),"")</f>
        <v>25</v>
      </c>
      <c r="Y9" s="74">
        <f>MAX(Q10,O10,M10,K10,I10,G10,E10)</f>
        <v>26</v>
      </c>
      <c r="Z9" s="53">
        <f>+S11</f>
        <v>64.6</v>
      </c>
      <c r="AA9" s="75">
        <f>+S10</f>
        <v>65</v>
      </c>
      <c r="AB9" s="70">
        <f>IF(+$D$2&gt;=D10,Z9-AA9,"")</f>
        <v>-0.4000000000000057</v>
      </c>
    </row>
    <row r="10" spans="2:28" s="52" customFormat="1" ht="12" customHeight="1">
      <c r="B10" s="222">
        <v>11</v>
      </c>
      <c r="C10" s="220">
        <f>+C8+7</f>
        <v>37844</v>
      </c>
      <c r="D10" s="220">
        <f>+D8+7</f>
        <v>37850</v>
      </c>
      <c r="E10" s="76" t="s">
        <v>1</v>
      </c>
      <c r="F10" s="179"/>
      <c r="G10" s="77">
        <v>14.5</v>
      </c>
      <c r="H10" s="179" t="s">
        <v>18</v>
      </c>
      <c r="I10" s="76">
        <v>14.5</v>
      </c>
      <c r="J10" s="179" t="s">
        <v>14</v>
      </c>
      <c r="K10" s="76">
        <v>10</v>
      </c>
      <c r="L10" s="179" t="s">
        <v>18</v>
      </c>
      <c r="M10" s="215" t="s">
        <v>1</v>
      </c>
      <c r="N10" s="247"/>
      <c r="O10" s="76">
        <v>26</v>
      </c>
      <c r="P10" s="179" t="s">
        <v>14</v>
      </c>
      <c r="Q10" s="184" t="s">
        <v>72</v>
      </c>
      <c r="R10" s="62"/>
      <c r="S10" s="80">
        <f t="shared" si="0"/>
        <v>65</v>
      </c>
      <c r="T10" s="255">
        <v>69.4</v>
      </c>
      <c r="U10" s="118" t="s">
        <v>71</v>
      </c>
      <c r="V10" s="51"/>
      <c r="W10" s="52">
        <v>10</v>
      </c>
      <c r="X10" s="53">
        <f>IF(S13&gt;0,MAX(E13,G13,I13,K13,M13,O13,Q13),"")</f>
        <v>26</v>
      </c>
      <c r="Y10" s="74">
        <f>MAX(Q12,O12,M12,K12,I12,G12,E12)</f>
        <v>27</v>
      </c>
      <c r="Z10" s="53">
        <f>+S13</f>
        <v>69.3</v>
      </c>
      <c r="AA10" s="75">
        <f>+S12</f>
        <v>67</v>
      </c>
      <c r="AB10" s="70">
        <f>IF(+$D$2&gt;=D12,Z10-AA10,"")</f>
        <v>2.299999999999997</v>
      </c>
    </row>
    <row r="11" spans="2:28" s="52" customFormat="1" ht="12" customHeight="1">
      <c r="B11" s="223"/>
      <c r="C11" s="221"/>
      <c r="D11" s="221"/>
      <c r="E11" s="71" t="s">
        <v>1</v>
      </c>
      <c r="F11" s="123"/>
      <c r="G11" s="124">
        <v>14.8</v>
      </c>
      <c r="H11" s="123" t="s">
        <v>18</v>
      </c>
      <c r="I11" s="71">
        <v>14.8</v>
      </c>
      <c r="J11" s="123" t="s">
        <v>14</v>
      </c>
      <c r="K11" s="71">
        <v>10</v>
      </c>
      <c r="L11" s="123" t="s">
        <v>14</v>
      </c>
      <c r="M11" s="213" t="s">
        <v>1</v>
      </c>
      <c r="N11" s="216"/>
      <c r="O11" s="71">
        <v>25</v>
      </c>
      <c r="P11" s="123" t="s">
        <v>14</v>
      </c>
      <c r="Q11" s="71" t="s">
        <v>73</v>
      </c>
      <c r="R11" s="72" t="s">
        <v>18</v>
      </c>
      <c r="S11" s="73">
        <f t="shared" si="0"/>
        <v>64.6</v>
      </c>
      <c r="T11" s="212"/>
      <c r="U11" s="117"/>
      <c r="V11" s="51"/>
      <c r="W11" s="52">
        <v>9</v>
      </c>
      <c r="X11" s="53">
        <f>IF(S15&gt;0,MAX(E15,G15,I15,K15,M15,O15,Q15),"")</f>
        <v>14.8</v>
      </c>
      <c r="Y11" s="74">
        <f>MAX(Q14,O14,M14,K14,I14,G14,E14)</f>
        <v>20</v>
      </c>
      <c r="Z11" s="53">
        <f>+S15</f>
        <v>29.6</v>
      </c>
      <c r="AA11" s="75">
        <f>+S14</f>
        <v>68</v>
      </c>
      <c r="AB11" s="70">
        <f>IF(+$D$2&gt;=D14,Z11-AA11,"")</f>
        <v>-38.4</v>
      </c>
    </row>
    <row r="12" spans="2:28" s="52" customFormat="1" ht="12" customHeight="1">
      <c r="B12" s="222">
        <v>10</v>
      </c>
      <c r="C12" s="220">
        <f>+C10+7</f>
        <v>37851</v>
      </c>
      <c r="D12" s="220">
        <f>+D10+7</f>
        <v>37857</v>
      </c>
      <c r="E12" s="76" t="s">
        <v>1</v>
      </c>
      <c r="F12" s="179"/>
      <c r="G12" s="77">
        <v>15.5</v>
      </c>
      <c r="H12" s="179" t="s">
        <v>18</v>
      </c>
      <c r="I12" s="76">
        <v>14.5</v>
      </c>
      <c r="J12" s="179" t="s">
        <v>19</v>
      </c>
      <c r="K12" s="76">
        <v>10</v>
      </c>
      <c r="L12" s="179" t="s">
        <v>20</v>
      </c>
      <c r="M12" s="215" t="s">
        <v>1</v>
      </c>
      <c r="N12" s="247"/>
      <c r="O12" s="184" t="s">
        <v>72</v>
      </c>
      <c r="P12" s="179"/>
      <c r="Q12" s="76">
        <v>27</v>
      </c>
      <c r="R12" s="79" t="s">
        <v>2</v>
      </c>
      <c r="S12" s="80">
        <f t="shared" si="0"/>
        <v>67</v>
      </c>
      <c r="T12" s="255">
        <v>68.4</v>
      </c>
      <c r="U12" s="118" t="s">
        <v>74</v>
      </c>
      <c r="V12" s="51"/>
      <c r="W12" s="52">
        <v>8</v>
      </c>
      <c r="X12" s="53">
        <f>IF(S17&gt;0,MAX(E17,G17,I17,K17,M17,O17,Q17),"")</f>
        <v>25.2</v>
      </c>
      <c r="Y12" s="74">
        <f>MAX(Q16,O16,M16,K16,I16,G16,E16)</f>
        <v>27</v>
      </c>
      <c r="Z12" s="53">
        <f>+S17</f>
        <v>25.2</v>
      </c>
      <c r="AA12" s="75">
        <f>+S16</f>
        <v>35</v>
      </c>
      <c r="AB12" s="70">
        <f>IF(+$D$2&gt;=D16,Z12-AA12,"")</f>
        <v>-9.8</v>
      </c>
    </row>
    <row r="13" spans="2:28" s="52" customFormat="1" ht="12" customHeight="1">
      <c r="B13" s="223"/>
      <c r="C13" s="221"/>
      <c r="D13" s="221"/>
      <c r="E13" s="71" t="s">
        <v>1</v>
      </c>
      <c r="F13" s="123"/>
      <c r="G13" s="124">
        <v>15</v>
      </c>
      <c r="H13" s="123" t="s">
        <v>19</v>
      </c>
      <c r="I13" s="71">
        <v>14.8</v>
      </c>
      <c r="J13" s="123" t="s">
        <v>14</v>
      </c>
      <c r="K13" s="71">
        <v>13.5</v>
      </c>
      <c r="L13" s="123" t="s">
        <v>18</v>
      </c>
      <c r="M13" s="213" t="s">
        <v>1</v>
      </c>
      <c r="N13" s="216"/>
      <c r="O13" s="124" t="s">
        <v>13</v>
      </c>
      <c r="P13" s="123"/>
      <c r="Q13" s="71">
        <v>26</v>
      </c>
      <c r="R13" s="191" t="s">
        <v>2</v>
      </c>
      <c r="S13" s="73">
        <f t="shared" si="0"/>
        <v>69.3</v>
      </c>
      <c r="T13" s="212"/>
      <c r="U13" s="117" t="s">
        <v>75</v>
      </c>
      <c r="V13" s="51"/>
      <c r="W13" s="52">
        <v>7</v>
      </c>
      <c r="X13" s="53">
        <f>IF(S19&gt;0,MAX(E19,G19,I19,K19,M19,O19,Q19),"")</f>
        <v>30</v>
      </c>
      <c r="Y13" s="74">
        <f>MAX(Q18,O18,M18,K18,I18,G18,E18)</f>
        <v>32</v>
      </c>
      <c r="Z13" s="53">
        <f>+S19</f>
        <v>57.5</v>
      </c>
      <c r="AA13" s="75">
        <f>+S18</f>
        <v>62</v>
      </c>
      <c r="AB13" s="70">
        <f>IF(+$D$2&gt;=D18,Z13-AA13,"")</f>
        <v>-4.5</v>
      </c>
    </row>
    <row r="14" spans="2:28" s="52" customFormat="1" ht="12" customHeight="1">
      <c r="B14" s="222">
        <v>9</v>
      </c>
      <c r="C14" s="220">
        <f>+C12+7</f>
        <v>37858</v>
      </c>
      <c r="D14" s="220">
        <f>+D12+7</f>
        <v>37864</v>
      </c>
      <c r="E14" s="76" t="s">
        <v>1</v>
      </c>
      <c r="F14" s="179"/>
      <c r="G14" s="77">
        <v>15.5</v>
      </c>
      <c r="H14" s="179" t="s">
        <v>18</v>
      </c>
      <c r="I14" s="76">
        <v>14.5</v>
      </c>
      <c r="J14" s="179" t="s">
        <v>19</v>
      </c>
      <c r="K14" s="76">
        <v>10</v>
      </c>
      <c r="L14" s="179" t="s">
        <v>14</v>
      </c>
      <c r="M14" s="215" t="s">
        <v>1</v>
      </c>
      <c r="N14" s="247"/>
      <c r="O14" s="76">
        <v>20</v>
      </c>
      <c r="P14" s="179" t="s">
        <v>18</v>
      </c>
      <c r="Q14" s="76">
        <v>8</v>
      </c>
      <c r="R14" s="62" t="s">
        <v>14</v>
      </c>
      <c r="S14" s="80">
        <f t="shared" si="0"/>
        <v>68</v>
      </c>
      <c r="T14" s="255"/>
      <c r="U14" s="118" t="s">
        <v>76</v>
      </c>
      <c r="V14" s="51"/>
      <c r="W14" s="52">
        <v>6</v>
      </c>
      <c r="X14" s="53">
        <f>IF(S21&gt;0,MAX(E21,G21,I21,K21,M21,O21,Q21),"")</f>
        <v>24.5</v>
      </c>
      <c r="Y14" s="74">
        <f>MAX(Q20,O20,M20,K20,I20,G20,E20)</f>
        <v>30</v>
      </c>
      <c r="Z14" s="53">
        <f>+S21</f>
        <v>77.1</v>
      </c>
      <c r="AA14" s="75">
        <f>+S20</f>
        <v>70</v>
      </c>
      <c r="AB14" s="70">
        <f>IF(+$D$2&gt;=D20,Z14-AA14,"")</f>
        <v>7.099999999999994</v>
      </c>
    </row>
    <row r="15" spans="2:28" s="52" customFormat="1" ht="12" customHeight="1">
      <c r="B15" s="223"/>
      <c r="C15" s="221"/>
      <c r="D15" s="221"/>
      <c r="E15" s="71" t="s">
        <v>1</v>
      </c>
      <c r="F15" s="123"/>
      <c r="G15" s="124">
        <v>14.8</v>
      </c>
      <c r="H15" s="123" t="s">
        <v>19</v>
      </c>
      <c r="I15" s="71">
        <v>14.8</v>
      </c>
      <c r="J15" s="123" t="s">
        <v>18</v>
      </c>
      <c r="K15" s="124" t="s">
        <v>13</v>
      </c>
      <c r="L15" s="123"/>
      <c r="M15" s="248" t="s">
        <v>13</v>
      </c>
      <c r="N15" s="216"/>
      <c r="O15" s="124" t="s">
        <v>13</v>
      </c>
      <c r="P15" s="123"/>
      <c r="Q15" s="124" t="s">
        <v>13</v>
      </c>
      <c r="R15" s="72"/>
      <c r="S15" s="73">
        <f t="shared" si="0"/>
        <v>29.6</v>
      </c>
      <c r="T15" s="212"/>
      <c r="U15" s="117" t="s">
        <v>77</v>
      </c>
      <c r="V15" s="51"/>
      <c r="W15" s="52">
        <v>5</v>
      </c>
      <c r="X15" s="53">
        <f>IF(S23&gt;0,MAX(E23,G23,I23,K23,M23,O23,Q23),"")</f>
        <v>24.1</v>
      </c>
      <c r="Y15" s="74">
        <f>MAX(Q22,O22,M22,K22,I22,G22,E22)</f>
        <v>30</v>
      </c>
      <c r="Z15" s="53">
        <f>+S23</f>
        <v>71.6</v>
      </c>
      <c r="AA15" s="75">
        <f>+S22</f>
        <v>75</v>
      </c>
      <c r="AB15" s="70">
        <f>IF(+$D$2&gt;=D22,Z15-AA15,"")</f>
        <v>-3.4000000000000057</v>
      </c>
    </row>
    <row r="16" spans="2:28" s="52" customFormat="1" ht="12" customHeight="1">
      <c r="B16" s="222">
        <v>8</v>
      </c>
      <c r="C16" s="220">
        <f>+C14+7</f>
        <v>37865</v>
      </c>
      <c r="D16" s="220">
        <f>+D14+7</f>
        <v>37871</v>
      </c>
      <c r="E16" s="215" t="s">
        <v>78</v>
      </c>
      <c r="F16" s="259"/>
      <c r="G16" s="259"/>
      <c r="H16" s="259"/>
      <c r="I16" s="259"/>
      <c r="J16" s="259"/>
      <c r="K16" s="259"/>
      <c r="L16" s="259"/>
      <c r="M16" s="259"/>
      <c r="N16" s="247"/>
      <c r="O16" s="76">
        <v>8</v>
      </c>
      <c r="P16" s="179" t="s">
        <v>18</v>
      </c>
      <c r="Q16" s="76">
        <v>27</v>
      </c>
      <c r="R16" s="79" t="s">
        <v>2</v>
      </c>
      <c r="S16" s="80">
        <f t="shared" si="0"/>
        <v>35</v>
      </c>
      <c r="T16" s="255"/>
      <c r="U16" s="118" t="s">
        <v>81</v>
      </c>
      <c r="V16" s="51"/>
      <c r="W16" s="52">
        <v>4</v>
      </c>
      <c r="X16" s="53">
        <f>IF(S25&gt;0,MAX(E25,G25,I25,K25,M25,O25,Q25),"")</f>
        <v>33</v>
      </c>
      <c r="Y16" s="74">
        <f>MAX(Q24,O24,M24,K24,I24,G24,E24)</f>
        <v>32</v>
      </c>
      <c r="Z16" s="53">
        <f>+S25</f>
        <v>74</v>
      </c>
      <c r="AA16" s="75">
        <f>+S24</f>
        <v>76</v>
      </c>
      <c r="AB16" s="70">
        <f>IF(+$D$2&gt;=D24,Z16-AA16,"")</f>
        <v>-2</v>
      </c>
    </row>
    <row r="17" spans="2:28" s="52" customFormat="1" ht="12" customHeight="1">
      <c r="B17" s="223"/>
      <c r="C17" s="221"/>
      <c r="D17" s="221"/>
      <c r="E17" s="213" t="s">
        <v>78</v>
      </c>
      <c r="F17" s="214"/>
      <c r="G17" s="214"/>
      <c r="H17" s="214"/>
      <c r="I17" s="214"/>
      <c r="J17" s="214"/>
      <c r="K17" s="214"/>
      <c r="L17" s="214"/>
      <c r="M17" s="214"/>
      <c r="N17" s="249"/>
      <c r="O17" s="185" t="s">
        <v>13</v>
      </c>
      <c r="P17" s="178"/>
      <c r="Q17" s="71">
        <v>25.2</v>
      </c>
      <c r="R17" s="191" t="s">
        <v>2</v>
      </c>
      <c r="S17" s="73">
        <f t="shared" si="0"/>
        <v>25.2</v>
      </c>
      <c r="T17" s="212"/>
      <c r="U17" s="117" t="s">
        <v>86</v>
      </c>
      <c r="V17" s="51"/>
      <c r="W17" s="52">
        <v>3</v>
      </c>
      <c r="X17" s="53">
        <f>IF(S27&gt;0,MAX(E27,G27,I27,K27,M27,O27,Q27),"")</f>
        <v>20</v>
      </c>
      <c r="Y17" s="74">
        <f>MAX(Q26,O26,M26,K26,I26,G26,E26)</f>
        <v>25</v>
      </c>
      <c r="Z17" s="53">
        <f>+S27</f>
        <v>66.3</v>
      </c>
      <c r="AA17" s="75">
        <f>+S26</f>
        <v>74.8</v>
      </c>
      <c r="AB17" s="70">
        <f>IF(+$D$2&gt;=D26,Z17-AA17,"")</f>
        <v>-8.5</v>
      </c>
    </row>
    <row r="18" spans="2:28" s="52" customFormat="1" ht="12" customHeight="1">
      <c r="B18" s="222">
        <v>7</v>
      </c>
      <c r="C18" s="220">
        <f>+C16+7</f>
        <v>37872</v>
      </c>
      <c r="D18" s="220">
        <f>+D16+7</f>
        <v>37878</v>
      </c>
      <c r="E18" s="76" t="s">
        <v>1</v>
      </c>
      <c r="F18" s="179"/>
      <c r="G18" s="77">
        <v>8</v>
      </c>
      <c r="H18" s="179" t="s">
        <v>14</v>
      </c>
      <c r="I18" s="76">
        <v>12</v>
      </c>
      <c r="J18" s="179" t="s">
        <v>18</v>
      </c>
      <c r="K18" s="76">
        <v>10</v>
      </c>
      <c r="L18" s="179" t="s">
        <v>14</v>
      </c>
      <c r="M18" s="184" t="s">
        <v>80</v>
      </c>
      <c r="N18" s="179"/>
      <c r="O18" s="184" t="s">
        <v>72</v>
      </c>
      <c r="P18" s="179"/>
      <c r="Q18" s="76">
        <v>32</v>
      </c>
      <c r="R18" s="62" t="s">
        <v>14</v>
      </c>
      <c r="S18" s="80">
        <f t="shared" si="0"/>
        <v>62</v>
      </c>
      <c r="T18" s="255">
        <v>69.4</v>
      </c>
      <c r="U18" s="118" t="s">
        <v>79</v>
      </c>
      <c r="V18" s="51"/>
      <c r="W18" s="52">
        <v>2</v>
      </c>
      <c r="X18" s="53">
        <f>IF(S29&gt;0,MAX(E29,G29,I29,K29,M29,O29,Q29),"")</f>
        <v>30</v>
      </c>
      <c r="Y18" s="74">
        <f>MAX(Q28,O28,M28,K28,I28,G28,E28)</f>
        <v>25</v>
      </c>
      <c r="Z18" s="53">
        <f>+S29</f>
        <v>87.80000000000001</v>
      </c>
      <c r="AA18" s="75">
        <f>+S28</f>
        <v>76.1</v>
      </c>
      <c r="AB18" s="70">
        <f>IF(+$D$2&gt;=D28,Z18-AA18,"")</f>
        <v>11.700000000000017</v>
      </c>
    </row>
    <row r="19" spans="2:28" s="52" customFormat="1" ht="12" customHeight="1">
      <c r="B19" s="223"/>
      <c r="C19" s="221"/>
      <c r="D19" s="221"/>
      <c r="E19" s="185" t="s">
        <v>13</v>
      </c>
      <c r="F19" s="178"/>
      <c r="G19" s="124" t="s">
        <v>13</v>
      </c>
      <c r="H19" s="123"/>
      <c r="I19" s="124" t="s">
        <v>13</v>
      </c>
      <c r="J19" s="123"/>
      <c r="K19" s="71">
        <v>13</v>
      </c>
      <c r="L19" s="123" t="s">
        <v>18</v>
      </c>
      <c r="M19" s="124" t="s">
        <v>13</v>
      </c>
      <c r="N19" s="123"/>
      <c r="O19" s="71">
        <v>14.5</v>
      </c>
      <c r="P19" s="123" t="s">
        <v>19</v>
      </c>
      <c r="Q19" s="71">
        <v>30</v>
      </c>
      <c r="R19" s="72" t="s">
        <v>18</v>
      </c>
      <c r="S19" s="73">
        <f t="shared" si="0"/>
        <v>57.5</v>
      </c>
      <c r="T19" s="212"/>
      <c r="U19" s="117"/>
      <c r="V19" s="51"/>
      <c r="W19" s="52">
        <v>1</v>
      </c>
      <c r="X19" s="53">
        <f>IF(S31&gt;0,MAX(E31,G31,I31,K31,M31,O31,Q31),"")</f>
        <v>42.195</v>
      </c>
      <c r="Y19" s="81">
        <f>MAX(Q30,O30,M30,K30,I30,G30,E30)</f>
        <v>42.2</v>
      </c>
      <c r="Z19" s="53">
        <f>+S31</f>
        <v>62.595</v>
      </c>
      <c r="AA19" s="82">
        <f>+S30</f>
        <v>62.2</v>
      </c>
      <c r="AB19" s="70">
        <f>IF(+$D$2&gt;=D30,Z19-AA19,"")</f>
        <v>0.394999999999996</v>
      </c>
    </row>
    <row r="20" spans="2:28" s="52" customFormat="1" ht="12" customHeight="1">
      <c r="B20" s="222">
        <v>6</v>
      </c>
      <c r="C20" s="220">
        <f>+C18+7</f>
        <v>37879</v>
      </c>
      <c r="D20" s="220">
        <f>+D18+7</f>
        <v>37885</v>
      </c>
      <c r="E20" s="76" t="s">
        <v>1</v>
      </c>
      <c r="F20" s="179"/>
      <c r="G20" s="77">
        <v>10</v>
      </c>
      <c r="H20" s="179" t="s">
        <v>18</v>
      </c>
      <c r="I20" s="76">
        <v>20</v>
      </c>
      <c r="J20" s="179" t="s">
        <v>19</v>
      </c>
      <c r="K20" s="76">
        <v>10</v>
      </c>
      <c r="L20" s="179" t="s">
        <v>14</v>
      </c>
      <c r="M20" s="184" t="s">
        <v>82</v>
      </c>
      <c r="N20" s="179"/>
      <c r="O20" s="76">
        <v>30</v>
      </c>
      <c r="P20" s="179" t="s">
        <v>18</v>
      </c>
      <c r="Q20" s="184" t="s">
        <v>72</v>
      </c>
      <c r="R20" s="79"/>
      <c r="S20" s="80">
        <f t="shared" si="0"/>
        <v>70</v>
      </c>
      <c r="T20" s="255">
        <v>67.7</v>
      </c>
      <c r="U20" s="118" t="s">
        <v>85</v>
      </c>
      <c r="V20" s="51"/>
      <c r="X20" s="83"/>
      <c r="Y20" s="84"/>
      <c r="Z20" s="85">
        <f>SUM(Z8:Z19)</f>
        <v>743.7950000000001</v>
      </c>
      <c r="AA20" s="85">
        <f>SUM(AA8:AA19)</f>
        <v>791.1</v>
      </c>
      <c r="AB20" s="86">
        <f>SUM(AB8:AB19)</f>
        <v>-47.30500000000001</v>
      </c>
    </row>
    <row r="21" spans="2:27" s="52" customFormat="1" ht="12" customHeight="1">
      <c r="B21" s="223"/>
      <c r="C21" s="221"/>
      <c r="D21" s="221"/>
      <c r="E21" s="71" t="s">
        <v>1</v>
      </c>
      <c r="F21" s="178"/>
      <c r="G21" s="124">
        <v>10.5</v>
      </c>
      <c r="H21" s="123" t="s">
        <v>18</v>
      </c>
      <c r="I21" s="71">
        <v>16.5</v>
      </c>
      <c r="J21" s="123" t="s">
        <v>19</v>
      </c>
      <c r="K21" s="71">
        <v>14.8</v>
      </c>
      <c r="L21" s="123" t="s">
        <v>14</v>
      </c>
      <c r="M21" s="186" t="s">
        <v>82</v>
      </c>
      <c r="N21" s="123"/>
      <c r="O21" s="124">
        <v>24.5</v>
      </c>
      <c r="P21" s="123" t="s">
        <v>18</v>
      </c>
      <c r="Q21" s="71">
        <v>10.8</v>
      </c>
      <c r="R21" s="191" t="s">
        <v>2</v>
      </c>
      <c r="S21" s="73">
        <f t="shared" si="0"/>
        <v>77.1</v>
      </c>
      <c r="T21" s="212"/>
      <c r="U21" s="187"/>
      <c r="V21" s="51"/>
      <c r="X21" s="83"/>
      <c r="Y21" s="63"/>
      <c r="Z21" s="63"/>
      <c r="AA21" s="63"/>
    </row>
    <row r="22" spans="2:27" s="52" customFormat="1" ht="12" customHeight="1">
      <c r="B22" s="222">
        <v>5</v>
      </c>
      <c r="C22" s="220">
        <f>+C20+7</f>
        <v>37886</v>
      </c>
      <c r="D22" s="220">
        <f>+D20+7</f>
        <v>37892</v>
      </c>
      <c r="E22" s="76" t="s">
        <v>1</v>
      </c>
      <c r="F22" s="179"/>
      <c r="G22" s="77">
        <v>10</v>
      </c>
      <c r="H22" s="78" t="s">
        <v>14</v>
      </c>
      <c r="I22" s="76">
        <v>30</v>
      </c>
      <c r="J22" s="179" t="s">
        <v>18</v>
      </c>
      <c r="K22" s="76">
        <v>10</v>
      </c>
      <c r="L22" s="179" t="s">
        <v>14</v>
      </c>
      <c r="M22" s="77" t="s">
        <v>13</v>
      </c>
      <c r="N22" s="179"/>
      <c r="O22" s="77" t="s">
        <v>13</v>
      </c>
      <c r="P22" s="179"/>
      <c r="Q22" s="76">
        <v>25</v>
      </c>
      <c r="R22" s="79" t="s">
        <v>2</v>
      </c>
      <c r="S22" s="80">
        <f t="shared" si="0"/>
        <v>75</v>
      </c>
      <c r="T22" s="255">
        <v>67.9</v>
      </c>
      <c r="U22" s="118" t="s">
        <v>84</v>
      </c>
      <c r="V22" s="51"/>
      <c r="X22" s="84"/>
      <c r="Y22" s="84"/>
      <c r="Z22" s="254"/>
      <c r="AA22" s="254"/>
    </row>
    <row r="23" spans="2:27" s="52" customFormat="1" ht="12" customHeight="1">
      <c r="B23" s="223"/>
      <c r="C23" s="221"/>
      <c r="D23" s="221"/>
      <c r="E23" s="71" t="s">
        <v>1</v>
      </c>
      <c r="F23" s="123"/>
      <c r="G23" s="71">
        <v>11.5</v>
      </c>
      <c r="H23" s="123" t="s">
        <v>14</v>
      </c>
      <c r="I23" s="71">
        <v>21.5</v>
      </c>
      <c r="J23" s="123" t="s">
        <v>18</v>
      </c>
      <c r="K23" s="71">
        <v>14.5</v>
      </c>
      <c r="L23" s="123" t="s">
        <v>14</v>
      </c>
      <c r="M23" s="124" t="s">
        <v>13</v>
      </c>
      <c r="N23" s="123"/>
      <c r="O23" s="186" t="s">
        <v>83</v>
      </c>
      <c r="P23" s="123"/>
      <c r="Q23" s="71">
        <v>24.1</v>
      </c>
      <c r="R23" s="191" t="s">
        <v>2</v>
      </c>
      <c r="S23" s="73">
        <f t="shared" si="0"/>
        <v>71.6</v>
      </c>
      <c r="T23" s="212"/>
      <c r="U23" s="129">
        <v>0.06601851851851852</v>
      </c>
      <c r="V23" s="51"/>
      <c r="X23" s="84"/>
      <c r="Y23" s="63"/>
      <c r="Z23" s="254"/>
      <c r="AA23" s="254"/>
    </row>
    <row r="24" spans="2:27" s="52" customFormat="1" ht="12" customHeight="1">
      <c r="B24" s="222">
        <v>4</v>
      </c>
      <c r="C24" s="220">
        <f>+C22+7</f>
        <v>37893</v>
      </c>
      <c r="D24" s="220">
        <f>+D22+7</f>
        <v>37899</v>
      </c>
      <c r="E24" s="76" t="s">
        <v>1</v>
      </c>
      <c r="F24" s="179"/>
      <c r="G24" s="77">
        <v>15.5</v>
      </c>
      <c r="H24" s="78" t="s">
        <v>14</v>
      </c>
      <c r="I24" s="76">
        <v>14.5</v>
      </c>
      <c r="J24" s="179" t="s">
        <v>19</v>
      </c>
      <c r="K24" s="184" t="s">
        <v>1</v>
      </c>
      <c r="L24" s="179"/>
      <c r="M24" s="76">
        <v>32</v>
      </c>
      <c r="N24" s="179" t="s">
        <v>14</v>
      </c>
      <c r="O24" s="215" t="s">
        <v>13</v>
      </c>
      <c r="P24" s="247"/>
      <c r="Q24" s="76">
        <v>14</v>
      </c>
      <c r="R24" s="79" t="s">
        <v>2</v>
      </c>
      <c r="S24" s="80">
        <f t="shared" si="0"/>
        <v>76</v>
      </c>
      <c r="T24" s="255">
        <v>68.3</v>
      </c>
      <c r="U24" s="118" t="s">
        <v>88</v>
      </c>
      <c r="V24" s="51"/>
      <c r="X24" s="84"/>
      <c r="Y24" s="84"/>
      <c r="Z24" s="254"/>
      <c r="AA24" s="254"/>
    </row>
    <row r="25" spans="2:27" s="52" customFormat="1" ht="12" customHeight="1">
      <c r="B25" s="223"/>
      <c r="C25" s="221"/>
      <c r="D25" s="221"/>
      <c r="E25" s="71" t="s">
        <v>1</v>
      </c>
      <c r="F25" s="123"/>
      <c r="G25" s="124">
        <v>14.5</v>
      </c>
      <c r="H25" s="123" t="s">
        <v>18</v>
      </c>
      <c r="I25" s="124" t="s">
        <v>13</v>
      </c>
      <c r="J25" s="123"/>
      <c r="K25" s="71">
        <v>10.5</v>
      </c>
      <c r="L25" s="123" t="s">
        <v>18</v>
      </c>
      <c r="M25" s="71">
        <v>33</v>
      </c>
      <c r="N25" s="123" t="s">
        <v>18</v>
      </c>
      <c r="O25" s="248" t="s">
        <v>13</v>
      </c>
      <c r="P25" s="249"/>
      <c r="Q25" s="71">
        <v>16</v>
      </c>
      <c r="R25" s="191" t="s">
        <v>2</v>
      </c>
      <c r="S25" s="73">
        <f t="shared" si="0"/>
        <v>74</v>
      </c>
      <c r="T25" s="212"/>
      <c r="U25" s="129"/>
      <c r="V25" s="51"/>
      <c r="X25" s="84"/>
      <c r="Y25" s="63"/>
      <c r="Z25" s="254"/>
      <c r="AA25" s="254"/>
    </row>
    <row r="26" spans="2:27" s="52" customFormat="1" ht="12" customHeight="1">
      <c r="B26" s="222">
        <v>3</v>
      </c>
      <c r="C26" s="220">
        <f>+C24+7</f>
        <v>37900</v>
      </c>
      <c r="D26" s="220">
        <f>+D24+7</f>
        <v>37906</v>
      </c>
      <c r="E26" s="76" t="s">
        <v>1</v>
      </c>
      <c r="F26" s="179"/>
      <c r="G26" s="77">
        <v>20</v>
      </c>
      <c r="H26" s="78" t="s">
        <v>14</v>
      </c>
      <c r="I26" s="76">
        <v>14.8</v>
      </c>
      <c r="J26" s="179" t="s">
        <v>18</v>
      </c>
      <c r="K26" s="76">
        <v>25</v>
      </c>
      <c r="L26" s="179" t="s">
        <v>14</v>
      </c>
      <c r="M26" s="246" t="s">
        <v>13</v>
      </c>
      <c r="N26" s="247"/>
      <c r="O26" s="76">
        <v>15</v>
      </c>
      <c r="P26" s="79" t="s">
        <v>2</v>
      </c>
      <c r="Q26" s="76" t="s">
        <v>87</v>
      </c>
      <c r="R26" s="62"/>
      <c r="S26" s="80">
        <f t="shared" si="0"/>
        <v>74.8</v>
      </c>
      <c r="T26" s="255">
        <v>67.5</v>
      </c>
      <c r="U26" s="118" t="s">
        <v>89</v>
      </c>
      <c r="V26" s="51"/>
      <c r="X26" s="84"/>
      <c r="Y26" s="84"/>
      <c r="Z26" s="254"/>
      <c r="AA26" s="254"/>
    </row>
    <row r="27" spans="2:27" s="52" customFormat="1" ht="12" customHeight="1">
      <c r="B27" s="223"/>
      <c r="C27" s="221"/>
      <c r="D27" s="221"/>
      <c r="E27" s="71" t="s">
        <v>1</v>
      </c>
      <c r="F27" s="123"/>
      <c r="G27" s="124">
        <v>15.5</v>
      </c>
      <c r="H27" s="123" t="s">
        <v>18</v>
      </c>
      <c r="I27" s="124">
        <v>14.8</v>
      </c>
      <c r="J27" s="123" t="s">
        <v>18</v>
      </c>
      <c r="K27" s="71">
        <v>20</v>
      </c>
      <c r="L27" s="123" t="s">
        <v>19</v>
      </c>
      <c r="M27" s="124" t="s">
        <v>13</v>
      </c>
      <c r="N27" s="123"/>
      <c r="O27" s="71">
        <v>16</v>
      </c>
      <c r="P27" s="191" t="s">
        <v>2</v>
      </c>
      <c r="Q27" s="124" t="s">
        <v>13</v>
      </c>
      <c r="R27" s="72"/>
      <c r="S27" s="73">
        <f t="shared" si="0"/>
        <v>66.3</v>
      </c>
      <c r="T27" s="212"/>
      <c r="U27" s="117"/>
      <c r="V27" s="51"/>
      <c r="X27" s="84"/>
      <c r="Y27" s="63"/>
      <c r="Z27" s="254"/>
      <c r="AA27" s="254"/>
    </row>
    <row r="28" spans="2:27" s="52" customFormat="1" ht="12" customHeight="1">
      <c r="B28" s="222">
        <v>2</v>
      </c>
      <c r="C28" s="220">
        <f>+C26+7</f>
        <v>37907</v>
      </c>
      <c r="D28" s="220">
        <f>+D26+7</f>
        <v>37913</v>
      </c>
      <c r="E28" s="76">
        <v>10</v>
      </c>
      <c r="F28" s="179" t="s">
        <v>18</v>
      </c>
      <c r="G28" s="244" t="s">
        <v>1</v>
      </c>
      <c r="H28" s="257"/>
      <c r="I28" s="76">
        <v>15</v>
      </c>
      <c r="J28" s="179" t="s">
        <v>20</v>
      </c>
      <c r="K28" s="76">
        <v>10</v>
      </c>
      <c r="L28" s="179" t="s">
        <v>14</v>
      </c>
      <c r="M28" s="244" t="s">
        <v>1</v>
      </c>
      <c r="N28" s="245"/>
      <c r="O28" s="76">
        <v>25</v>
      </c>
      <c r="P28" s="179" t="s">
        <v>18</v>
      </c>
      <c r="Q28" s="76">
        <v>16.1</v>
      </c>
      <c r="R28" s="62" t="s">
        <v>18</v>
      </c>
      <c r="S28" s="80">
        <f t="shared" si="0"/>
        <v>76.1</v>
      </c>
      <c r="T28" s="255">
        <v>68</v>
      </c>
      <c r="U28" s="118" t="s">
        <v>71</v>
      </c>
      <c r="V28" s="51"/>
      <c r="X28" s="84"/>
      <c r="Y28" s="84"/>
      <c r="Z28" s="254"/>
      <c r="AA28" s="254"/>
    </row>
    <row r="29" spans="2:27" s="52" customFormat="1" ht="12" customHeight="1">
      <c r="B29" s="223"/>
      <c r="C29" s="221"/>
      <c r="D29" s="221"/>
      <c r="E29" s="71">
        <v>21.5</v>
      </c>
      <c r="F29" s="123"/>
      <c r="G29" s="71" t="s">
        <v>1</v>
      </c>
      <c r="H29" s="123"/>
      <c r="I29" s="124">
        <v>10.2</v>
      </c>
      <c r="J29" s="123" t="s">
        <v>18</v>
      </c>
      <c r="K29" s="71">
        <v>10</v>
      </c>
      <c r="L29" s="123"/>
      <c r="M29" s="124" t="s">
        <v>13</v>
      </c>
      <c r="N29" s="123"/>
      <c r="O29" s="71">
        <v>30</v>
      </c>
      <c r="P29" s="123" t="s">
        <v>19</v>
      </c>
      <c r="Q29" s="124">
        <v>16.1</v>
      </c>
      <c r="R29" s="72" t="s">
        <v>14</v>
      </c>
      <c r="S29" s="73">
        <f t="shared" si="0"/>
        <v>87.80000000000001</v>
      </c>
      <c r="T29" s="212"/>
      <c r="U29" s="117"/>
      <c r="V29" s="51"/>
      <c r="X29" s="84"/>
      <c r="Y29" s="63"/>
      <c r="Z29" s="254"/>
      <c r="AA29" s="254"/>
    </row>
    <row r="30" spans="2:27" s="52" customFormat="1" ht="12" customHeight="1">
      <c r="B30" s="222">
        <v>1</v>
      </c>
      <c r="C30" s="220">
        <f>+C28+7</f>
        <v>37914</v>
      </c>
      <c r="D30" s="220">
        <f>+D28+7</f>
        <v>37920</v>
      </c>
      <c r="E30" s="76" t="s">
        <v>13</v>
      </c>
      <c r="F30" s="179"/>
      <c r="G30" s="77">
        <v>10</v>
      </c>
      <c r="H30" s="78" t="s">
        <v>19</v>
      </c>
      <c r="I30" s="215" t="s">
        <v>13</v>
      </c>
      <c r="J30" s="247"/>
      <c r="K30" s="76">
        <v>10</v>
      </c>
      <c r="L30" s="179" t="s">
        <v>14</v>
      </c>
      <c r="M30" s="246" t="s">
        <v>13</v>
      </c>
      <c r="N30" s="247"/>
      <c r="O30" s="244" t="s">
        <v>83</v>
      </c>
      <c r="P30" s="245"/>
      <c r="Q30" s="76">
        <v>42.2</v>
      </c>
      <c r="R30" s="79" t="s">
        <v>2</v>
      </c>
      <c r="S30" s="80">
        <f t="shared" si="0"/>
        <v>62.2</v>
      </c>
      <c r="T30" s="255">
        <v>68.3</v>
      </c>
      <c r="U30" s="118" t="s">
        <v>91</v>
      </c>
      <c r="V30" s="51"/>
      <c r="X30" s="84"/>
      <c r="Y30" s="84"/>
      <c r="Z30" s="254"/>
      <c r="AA30" s="254"/>
    </row>
    <row r="31" spans="2:27" s="52" customFormat="1" ht="12" customHeight="1">
      <c r="B31" s="223"/>
      <c r="C31" s="221"/>
      <c r="D31" s="221"/>
      <c r="E31" s="71" t="s">
        <v>1</v>
      </c>
      <c r="F31" s="123"/>
      <c r="G31" s="124" t="s">
        <v>13</v>
      </c>
      <c r="H31" s="123"/>
      <c r="I31" s="124">
        <v>10.2</v>
      </c>
      <c r="J31" s="123" t="s">
        <v>18</v>
      </c>
      <c r="K31" s="71">
        <v>10.2</v>
      </c>
      <c r="L31" s="123" t="s">
        <v>14</v>
      </c>
      <c r="M31" s="248" t="s">
        <v>13</v>
      </c>
      <c r="N31" s="216"/>
      <c r="O31" s="248" t="s">
        <v>13</v>
      </c>
      <c r="P31" s="249"/>
      <c r="Q31" s="71">
        <v>42.195</v>
      </c>
      <c r="R31" s="191" t="s">
        <v>2</v>
      </c>
      <c r="S31" s="73">
        <f t="shared" si="0"/>
        <v>62.595</v>
      </c>
      <c r="T31" s="212"/>
      <c r="U31" s="117"/>
      <c r="V31" s="51"/>
      <c r="X31" s="84"/>
      <c r="Y31" s="63"/>
      <c r="Z31" s="254"/>
      <c r="AA31" s="254"/>
    </row>
    <row r="32" spans="17:20" ht="12.75">
      <c r="Q32" s="33"/>
      <c r="S32" s="87">
        <f>+AA20</f>
        <v>791.1</v>
      </c>
      <c r="T32" s="88"/>
    </row>
    <row r="33" spans="8:20" ht="15" customHeight="1">
      <c r="H33" s="32"/>
      <c r="I33" s="31"/>
      <c r="J33" s="32"/>
      <c r="Q33" s="33"/>
      <c r="S33" s="130">
        <f>+S32/12</f>
        <v>65.925</v>
      </c>
      <c r="T33" s="119" t="s">
        <v>17</v>
      </c>
    </row>
    <row r="34" spans="17:20" ht="15" customHeight="1">
      <c r="Q34" s="33"/>
      <c r="S34" s="128">
        <f>+AB20</f>
        <v>-47.30500000000001</v>
      </c>
      <c r="T34" s="120" t="s">
        <v>40</v>
      </c>
    </row>
    <row r="35" spans="17:20" ht="15" customHeight="1">
      <c r="Q35" s="33"/>
      <c r="S35" s="192">
        <f>+S33+(S34/12)</f>
        <v>61.98291666666666</v>
      </c>
      <c r="T35" s="120" t="s">
        <v>54</v>
      </c>
    </row>
    <row r="36" ht="12.75">
      <c r="Q36" s="33"/>
    </row>
    <row r="37" ht="12.75">
      <c r="Q37" s="93"/>
    </row>
    <row r="38" spans="15:17" ht="12.75" customHeight="1">
      <c r="O38" s="99"/>
      <c r="Q38" s="100"/>
    </row>
    <row r="39" ht="12.75" customHeight="1"/>
    <row r="40" ht="12.75" customHeight="1">
      <c r="Q40" s="103"/>
    </row>
    <row r="41" ht="12.75" customHeight="1">
      <c r="Q41" s="104"/>
    </row>
    <row r="42" ht="12.75" customHeight="1"/>
    <row r="43" ht="12.75" customHeight="1"/>
    <row r="44" ht="12.75" customHeight="1"/>
    <row r="45" ht="12.75" customHeight="1"/>
    <row r="46" ht="5.25" customHeight="1"/>
    <row r="47" spans="21:22" ht="12.75">
      <c r="U47" s="88"/>
      <c r="V47" s="110"/>
    </row>
    <row r="48" spans="21:22" ht="12.75">
      <c r="U48" s="88"/>
      <c r="V48" s="110"/>
    </row>
    <row r="49" spans="21:22" ht="12.75">
      <c r="U49" s="88"/>
      <c r="V49" s="110"/>
    </row>
    <row r="50" spans="21:22" ht="12.75">
      <c r="U50" s="88"/>
      <c r="V50" s="110"/>
    </row>
    <row r="51" spans="21:22" ht="12.75">
      <c r="U51" s="88"/>
      <c r="V51" s="110"/>
    </row>
    <row r="52" spans="21:22" ht="12.75">
      <c r="U52" s="88"/>
      <c r="V52" s="110"/>
    </row>
    <row r="53" spans="2:22" ht="18" customHeight="1">
      <c r="B53" s="111"/>
      <c r="F53" s="32"/>
      <c r="H53" s="32"/>
      <c r="J53" s="32"/>
      <c r="L53" s="32"/>
      <c r="N53" s="88"/>
      <c r="O53" s="88"/>
      <c r="P53" s="95"/>
      <c r="Q53" s="95"/>
      <c r="R53" s="88"/>
      <c r="S53" s="88"/>
      <c r="U53" s="88"/>
      <c r="V53" s="88"/>
    </row>
    <row r="54" spans="2:19" ht="15" customHeight="1">
      <c r="B54" s="97"/>
      <c r="C54" s="89" t="s">
        <v>41</v>
      </c>
      <c r="D54" s="91"/>
      <c r="E54" s="91"/>
      <c r="F54" s="91"/>
      <c r="G54" s="92"/>
      <c r="H54" s="32"/>
      <c r="I54" s="89" t="s">
        <v>24</v>
      </c>
      <c r="J54" s="90"/>
      <c r="K54" s="1">
        <v>162</v>
      </c>
      <c r="L54" s="91"/>
      <c r="M54" s="90"/>
      <c r="N54" s="90"/>
      <c r="O54" s="91"/>
      <c r="P54" s="250"/>
      <c r="Q54" s="251"/>
      <c r="R54" s="88"/>
      <c r="S54" s="88"/>
    </row>
    <row r="55" spans="2:19" ht="15" customHeight="1">
      <c r="B55" s="97"/>
      <c r="C55" s="94" t="s">
        <v>52</v>
      </c>
      <c r="D55" s="97"/>
      <c r="E55" s="242">
        <v>13</v>
      </c>
      <c r="F55" s="242"/>
      <c r="G55" s="243"/>
      <c r="H55" s="32"/>
      <c r="I55" s="94"/>
      <c r="J55" s="32"/>
      <c r="K55" s="96" t="s">
        <v>11</v>
      </c>
      <c r="L55" s="97"/>
      <c r="M55" s="98" t="s">
        <v>12</v>
      </c>
      <c r="N55" s="240" t="s">
        <v>11</v>
      </c>
      <c r="O55" s="241"/>
      <c r="P55" s="252" t="s">
        <v>12</v>
      </c>
      <c r="Q55" s="253"/>
      <c r="R55" s="88"/>
      <c r="S55" s="88"/>
    </row>
    <row r="56" spans="2:19" ht="15" customHeight="1">
      <c r="B56" s="97"/>
      <c r="C56" s="112" t="s">
        <v>42</v>
      </c>
      <c r="D56" s="97"/>
      <c r="E56" s="238">
        <f>60/E55/24/60</f>
        <v>0.003205128205128205</v>
      </c>
      <c r="F56" s="238"/>
      <c r="G56" s="239"/>
      <c r="H56" s="32"/>
      <c r="I56" s="94" t="s">
        <v>23</v>
      </c>
      <c r="J56" s="32"/>
      <c r="K56" s="101"/>
      <c r="L56" s="97"/>
      <c r="M56" s="102">
        <f aca="true" t="shared" si="1" ref="M56:M63">+P56*$K$54</f>
        <v>113.39999999999999</v>
      </c>
      <c r="N56" s="234"/>
      <c r="O56" s="235"/>
      <c r="P56" s="236">
        <v>0.7</v>
      </c>
      <c r="Q56" s="236"/>
      <c r="R56" s="88"/>
      <c r="S56" s="88"/>
    </row>
    <row r="57" spans="2:19" ht="15" customHeight="1">
      <c r="B57" s="97"/>
      <c r="C57" s="112" t="s">
        <v>44</v>
      </c>
      <c r="D57" s="97"/>
      <c r="E57" s="238">
        <f>+E56*1.609</f>
        <v>0.005157051282051282</v>
      </c>
      <c r="F57" s="238"/>
      <c r="G57" s="239"/>
      <c r="H57" s="32"/>
      <c r="I57" s="94" t="s">
        <v>25</v>
      </c>
      <c r="J57" s="32"/>
      <c r="K57" s="101">
        <f aca="true" t="shared" si="2" ref="K57:K63">+N57*$K$54</f>
        <v>113.39999999999999</v>
      </c>
      <c r="L57" s="97"/>
      <c r="M57" s="102">
        <f t="shared" si="1"/>
        <v>117.45</v>
      </c>
      <c r="N57" s="234">
        <f>+P56</f>
        <v>0.7</v>
      </c>
      <c r="O57" s="235"/>
      <c r="P57" s="236">
        <v>0.725</v>
      </c>
      <c r="Q57" s="236"/>
      <c r="R57" s="88"/>
      <c r="S57" s="88"/>
    </row>
    <row r="58" spans="2:18" ht="15" customHeight="1">
      <c r="B58" s="97"/>
      <c r="C58" s="126" t="s">
        <v>43</v>
      </c>
      <c r="D58" s="125"/>
      <c r="E58" s="228">
        <v>0.1875</v>
      </c>
      <c r="F58" s="228"/>
      <c r="G58" s="229"/>
      <c r="H58" s="32"/>
      <c r="I58" s="94" t="s">
        <v>46</v>
      </c>
      <c r="J58" s="32"/>
      <c r="K58" s="101">
        <f t="shared" si="2"/>
        <v>117.45</v>
      </c>
      <c r="L58" s="97"/>
      <c r="M58" s="102">
        <f t="shared" si="1"/>
        <v>121.5</v>
      </c>
      <c r="N58" s="234">
        <f aca="true" t="shared" si="3" ref="N58:N63">+P57</f>
        <v>0.725</v>
      </c>
      <c r="O58" s="235"/>
      <c r="P58" s="236">
        <v>0.75</v>
      </c>
      <c r="Q58" s="236"/>
      <c r="R58" s="32"/>
    </row>
    <row r="59" spans="2:18" ht="15" customHeight="1">
      <c r="B59" s="97"/>
      <c r="C59" s="112" t="s">
        <v>44</v>
      </c>
      <c r="D59" s="97"/>
      <c r="E59" s="224">
        <f>+E58*1.609</f>
        <v>0.3016875</v>
      </c>
      <c r="F59" s="224"/>
      <c r="G59" s="225"/>
      <c r="H59" s="32"/>
      <c r="I59" s="94" t="s">
        <v>47</v>
      </c>
      <c r="J59" s="32"/>
      <c r="K59" s="101">
        <f t="shared" si="2"/>
        <v>121.5</v>
      </c>
      <c r="L59" s="97"/>
      <c r="M59" s="102">
        <f t="shared" si="1"/>
        <v>129.6</v>
      </c>
      <c r="N59" s="234">
        <f t="shared" si="3"/>
        <v>0.75</v>
      </c>
      <c r="O59" s="235"/>
      <c r="P59" s="236">
        <v>0.8</v>
      </c>
      <c r="Q59" s="236"/>
      <c r="R59" s="32"/>
    </row>
    <row r="60" spans="2:18" ht="15" customHeight="1">
      <c r="B60" s="97"/>
      <c r="C60" s="112" t="s">
        <v>53</v>
      </c>
      <c r="D60" s="97"/>
      <c r="E60" s="230">
        <f>60/E58/24</f>
        <v>13.333333333333334</v>
      </c>
      <c r="F60" s="230"/>
      <c r="G60" s="231"/>
      <c r="H60" s="32"/>
      <c r="I60" s="94" t="s">
        <v>48</v>
      </c>
      <c r="J60" s="32"/>
      <c r="K60" s="101">
        <f t="shared" si="2"/>
        <v>129.6</v>
      </c>
      <c r="L60" s="97"/>
      <c r="M60" s="102">
        <f t="shared" si="1"/>
        <v>137.7</v>
      </c>
      <c r="N60" s="234">
        <f t="shared" si="3"/>
        <v>0.8</v>
      </c>
      <c r="O60" s="235"/>
      <c r="P60" s="236">
        <v>0.85</v>
      </c>
      <c r="Q60" s="236"/>
      <c r="R60" s="32"/>
    </row>
    <row r="61" spans="3:17" ht="15" customHeight="1">
      <c r="C61" s="112" t="s">
        <v>49</v>
      </c>
      <c r="D61" s="88"/>
      <c r="E61" s="224">
        <f>+E58*0.4</f>
        <v>0.07500000000000001</v>
      </c>
      <c r="F61" s="224">
        <f>+E58*0.4</f>
        <v>0.07500000000000001</v>
      </c>
      <c r="G61" s="225"/>
      <c r="I61" s="94" t="s">
        <v>26</v>
      </c>
      <c r="J61" s="32"/>
      <c r="K61" s="101">
        <f t="shared" si="2"/>
        <v>137.7</v>
      </c>
      <c r="L61" s="97"/>
      <c r="M61" s="102">
        <f t="shared" si="1"/>
        <v>145.8</v>
      </c>
      <c r="N61" s="234">
        <f t="shared" si="3"/>
        <v>0.85</v>
      </c>
      <c r="O61" s="235"/>
      <c r="P61" s="236">
        <v>0.9</v>
      </c>
      <c r="Q61" s="236"/>
    </row>
    <row r="62" spans="3:17" ht="15" customHeight="1">
      <c r="C62" s="112" t="s">
        <v>51</v>
      </c>
      <c r="D62" s="88"/>
      <c r="E62" s="224">
        <f>+E58*0.6</f>
        <v>0.11249999999999999</v>
      </c>
      <c r="F62" s="224"/>
      <c r="G62" s="225"/>
      <c r="I62" s="94" t="s">
        <v>27</v>
      </c>
      <c r="J62" s="32"/>
      <c r="K62" s="101">
        <f t="shared" si="2"/>
        <v>145.8</v>
      </c>
      <c r="L62" s="97"/>
      <c r="M62" s="102">
        <f t="shared" si="1"/>
        <v>153.9</v>
      </c>
      <c r="N62" s="234">
        <f t="shared" si="3"/>
        <v>0.9</v>
      </c>
      <c r="O62" s="235"/>
      <c r="P62" s="236">
        <v>0.95</v>
      </c>
      <c r="Q62" s="236"/>
    </row>
    <row r="63" spans="3:17" ht="15" customHeight="1">
      <c r="C63" s="113" t="s">
        <v>50</v>
      </c>
      <c r="D63" s="127"/>
      <c r="E63" s="226">
        <f>+E58*0.8</f>
        <v>0.15000000000000002</v>
      </c>
      <c r="F63" s="226"/>
      <c r="G63" s="227"/>
      <c r="I63" s="105" t="s">
        <v>28</v>
      </c>
      <c r="J63" s="106"/>
      <c r="K63" s="107">
        <f t="shared" si="2"/>
        <v>153.9</v>
      </c>
      <c r="L63" s="108"/>
      <c r="M63" s="109">
        <f t="shared" si="1"/>
        <v>157.95</v>
      </c>
      <c r="N63" s="232">
        <f t="shared" si="3"/>
        <v>0.95</v>
      </c>
      <c r="O63" s="233"/>
      <c r="P63" s="237">
        <v>0.975</v>
      </c>
      <c r="Q63" s="237"/>
    </row>
    <row r="64" spans="9:16" ht="15" customHeight="1">
      <c r="I64" s="33"/>
      <c r="J64" s="32"/>
      <c r="L64" s="88"/>
      <c r="M64" s="88"/>
      <c r="N64" s="32"/>
      <c r="P64" s="32"/>
    </row>
  </sheetData>
  <mergeCells count="110">
    <mergeCell ref="D30:D31"/>
    <mergeCell ref="D18:D19"/>
    <mergeCell ref="D26:D27"/>
    <mergeCell ref="D2:E2"/>
    <mergeCell ref="B5:D5"/>
    <mergeCell ref="D28:D29"/>
    <mergeCell ref="B8:B9"/>
    <mergeCell ref="B12:B13"/>
    <mergeCell ref="B14:B15"/>
    <mergeCell ref="B16:B17"/>
    <mergeCell ref="C18:C19"/>
    <mergeCell ref="C8:C9"/>
    <mergeCell ref="D8:D9"/>
    <mergeCell ref="E16:N16"/>
    <mergeCell ref="D12:D13"/>
    <mergeCell ref="D14:D15"/>
    <mergeCell ref="D16:D17"/>
    <mergeCell ref="C12:C13"/>
    <mergeCell ref="C14:C15"/>
    <mergeCell ref="C16:C17"/>
    <mergeCell ref="G28:H28"/>
    <mergeCell ref="M30:N30"/>
    <mergeCell ref="M10:N10"/>
    <mergeCell ref="M9:N9"/>
    <mergeCell ref="I30:J30"/>
    <mergeCell ref="M6:N6"/>
    <mergeCell ref="M7:N7"/>
    <mergeCell ref="B10:B11"/>
    <mergeCell ref="D10:D11"/>
    <mergeCell ref="C10:C11"/>
    <mergeCell ref="B18:B19"/>
    <mergeCell ref="B20:B21"/>
    <mergeCell ref="B22:B23"/>
    <mergeCell ref="B24:B25"/>
    <mergeCell ref="C30:C31"/>
    <mergeCell ref="B26:B27"/>
    <mergeCell ref="B28:B29"/>
    <mergeCell ref="B30:B31"/>
    <mergeCell ref="C28:C29"/>
    <mergeCell ref="C26:C27"/>
    <mergeCell ref="C24:C25"/>
    <mergeCell ref="C20:C21"/>
    <mergeCell ref="C22:C23"/>
    <mergeCell ref="D20:D21"/>
    <mergeCell ref="D22:D23"/>
    <mergeCell ref="D24:D25"/>
    <mergeCell ref="T8:T9"/>
    <mergeCell ref="T10:T11"/>
    <mergeCell ref="M11:N11"/>
    <mergeCell ref="M15:N15"/>
    <mergeCell ref="M14:N14"/>
    <mergeCell ref="M13:N13"/>
    <mergeCell ref="M12:N12"/>
    <mergeCell ref="T12:T13"/>
    <mergeCell ref="T14:T15"/>
    <mergeCell ref="M8:N8"/>
    <mergeCell ref="T30:T31"/>
    <mergeCell ref="M31:N31"/>
    <mergeCell ref="T26:T27"/>
    <mergeCell ref="T28:T29"/>
    <mergeCell ref="T16:T17"/>
    <mergeCell ref="T18:T19"/>
    <mergeCell ref="E17:N17"/>
    <mergeCell ref="O24:P24"/>
    <mergeCell ref="T20:T21"/>
    <mergeCell ref="T22:T23"/>
    <mergeCell ref="T24:T25"/>
    <mergeCell ref="O25:P25"/>
    <mergeCell ref="Z30:Z31"/>
    <mergeCell ref="AA30:AA31"/>
    <mergeCell ref="Z22:Z23"/>
    <mergeCell ref="Z24:Z25"/>
    <mergeCell ref="AA22:AA23"/>
    <mergeCell ref="AA24:AA25"/>
    <mergeCell ref="AA26:AA27"/>
    <mergeCell ref="AA28:AA29"/>
    <mergeCell ref="Z26:Z27"/>
    <mergeCell ref="Z28:Z29"/>
    <mergeCell ref="N61:O61"/>
    <mergeCell ref="M28:N28"/>
    <mergeCell ref="M26:N26"/>
    <mergeCell ref="N59:O59"/>
    <mergeCell ref="O30:P30"/>
    <mergeCell ref="N60:O60"/>
    <mergeCell ref="N58:O58"/>
    <mergeCell ref="O31:P31"/>
    <mergeCell ref="P54:Q54"/>
    <mergeCell ref="P55:Q55"/>
    <mergeCell ref="E56:G56"/>
    <mergeCell ref="E57:G57"/>
    <mergeCell ref="N55:O55"/>
    <mergeCell ref="N56:O56"/>
    <mergeCell ref="N57:O57"/>
    <mergeCell ref="E55:G55"/>
    <mergeCell ref="N63:O63"/>
    <mergeCell ref="N62:O62"/>
    <mergeCell ref="P56:Q56"/>
    <mergeCell ref="P57:Q57"/>
    <mergeCell ref="P58:Q58"/>
    <mergeCell ref="P59:Q59"/>
    <mergeCell ref="P60:Q60"/>
    <mergeCell ref="P61:Q61"/>
    <mergeCell ref="P62:Q62"/>
    <mergeCell ref="P63:Q63"/>
    <mergeCell ref="E61:G61"/>
    <mergeCell ref="E62:G62"/>
    <mergeCell ref="E63:G63"/>
    <mergeCell ref="E58:G58"/>
    <mergeCell ref="E59:G59"/>
    <mergeCell ref="E60:G60"/>
  </mergeCell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J72"/>
  <sheetViews>
    <sheetView workbookViewId="0" topLeftCell="A1">
      <selection activeCell="F25" sqref="F25"/>
    </sheetView>
  </sheetViews>
  <sheetFormatPr defaultColWidth="11.5546875" defaultRowHeight="15"/>
  <cols>
    <col min="1" max="2" width="5.4453125" style="0" customWidth="1"/>
    <col min="3" max="3" width="7.77734375" style="173" customWidth="1"/>
    <col min="4" max="4" width="7.99609375" style="174" customWidth="1"/>
    <col min="5" max="5" width="9.4453125" style="173" customWidth="1"/>
    <col min="6" max="6" width="8.77734375" style="173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26" spans="1:10" ht="15">
      <c r="A26" t="s">
        <v>63</v>
      </c>
      <c r="B26" t="s">
        <v>66</v>
      </c>
      <c r="C26" s="174" t="s">
        <v>66</v>
      </c>
      <c r="D26" s="174" t="s">
        <v>67</v>
      </c>
      <c r="E26" s="173" t="s">
        <v>64</v>
      </c>
      <c r="F26" s="173" t="s">
        <v>68</v>
      </c>
      <c r="G26" s="167" t="s">
        <v>65</v>
      </c>
      <c r="I26" s="169">
        <v>0.002777777777777778</v>
      </c>
      <c r="J26" s="210">
        <f>+I26</f>
        <v>0.002777777777777778</v>
      </c>
    </row>
    <row r="27" spans="1:10" ht="15">
      <c r="A27" s="168">
        <v>1</v>
      </c>
      <c r="B27" s="174">
        <v>0.003368055555555555</v>
      </c>
      <c r="C27" s="174">
        <f>+'race pace 2'!B2</f>
        <v>0.003298611111111111</v>
      </c>
      <c r="D27" s="174">
        <v>0.003321759259259259</v>
      </c>
      <c r="E27" s="176">
        <f>+D27</f>
        <v>0.003321759259259259</v>
      </c>
      <c r="F27" s="174">
        <f>+E27/A27</f>
        <v>0.003321759259259259</v>
      </c>
      <c r="G27" s="170">
        <v>129</v>
      </c>
      <c r="I27" s="169">
        <v>0.003125</v>
      </c>
      <c r="J27" s="210">
        <f>+I27</f>
        <v>0.003125</v>
      </c>
    </row>
    <row r="28" spans="1:10" ht="15">
      <c r="A28" s="168">
        <v>2</v>
      </c>
      <c r="B28" s="174">
        <v>0.003368055555555555</v>
      </c>
      <c r="C28" s="174">
        <f>+'race pace 2'!B3</f>
        <v>0.003298611111111111</v>
      </c>
      <c r="D28" s="174">
        <v>0.003425925925925926</v>
      </c>
      <c r="E28" s="176">
        <f>+E27+D28</f>
        <v>0.006747685185185185</v>
      </c>
      <c r="F28" s="174">
        <f>+E28/A28</f>
        <v>0.0033738425925925923</v>
      </c>
      <c r="G28" s="170">
        <v>132</v>
      </c>
      <c r="I28" s="169">
        <v>0.003993055555555556</v>
      </c>
      <c r="J28" s="210">
        <f>+I28</f>
        <v>0.003993055555555556</v>
      </c>
    </row>
    <row r="29" spans="1:10" ht="15">
      <c r="A29" s="168">
        <v>3</v>
      </c>
      <c r="B29" s="174">
        <v>0.003368055555555555</v>
      </c>
      <c r="C29" s="174">
        <f>+'race pace 2'!B4</f>
        <v>0.003298611111111111</v>
      </c>
      <c r="D29" s="174">
        <v>0.003298611111111111</v>
      </c>
      <c r="E29" s="176">
        <f aca="true" t="shared" si="0" ref="E29:E67">+E28+D29</f>
        <v>0.010046296296296296</v>
      </c>
      <c r="F29" s="174">
        <f aca="true" t="shared" si="1" ref="F29:F68">+E29/A29</f>
        <v>0.0033487654320987653</v>
      </c>
      <c r="G29" s="170">
        <v>139</v>
      </c>
      <c r="I29" s="169">
        <v>0.004166666666666667</v>
      </c>
      <c r="J29" s="210">
        <f>+I29</f>
        <v>0.004166666666666667</v>
      </c>
    </row>
    <row r="30" spans="1:10" ht="15">
      <c r="A30" s="168">
        <v>4</v>
      </c>
      <c r="B30" s="174">
        <v>0.003368055555555555</v>
      </c>
      <c r="C30" s="174">
        <f>+'race pace 2'!B5</f>
        <v>0.003298611111111111</v>
      </c>
      <c r="D30" s="174">
        <v>0.003263888888888889</v>
      </c>
      <c r="E30" s="176">
        <f t="shared" si="0"/>
        <v>0.013310185185185185</v>
      </c>
      <c r="F30" s="174">
        <f t="shared" si="1"/>
        <v>0.0033275462962962963</v>
      </c>
      <c r="G30" s="170">
        <v>140</v>
      </c>
      <c r="I30" s="169">
        <v>0.00017361111111111112</v>
      </c>
      <c r="J30" s="210">
        <f>+I30</f>
        <v>0.00017361111111111112</v>
      </c>
    </row>
    <row r="31" spans="1:7" ht="15">
      <c r="A31" s="168">
        <v>5</v>
      </c>
      <c r="B31" s="175">
        <v>0.003368055555555555</v>
      </c>
      <c r="C31" s="175">
        <f>+'race pace 2'!B6</f>
        <v>0.003298611111111111</v>
      </c>
      <c r="D31" s="175">
        <v>0.003148148148148148</v>
      </c>
      <c r="E31" s="177">
        <f t="shared" si="0"/>
        <v>0.016458333333333332</v>
      </c>
      <c r="F31" s="175">
        <f t="shared" si="1"/>
        <v>0.0032916666666666663</v>
      </c>
      <c r="G31" s="172">
        <v>134</v>
      </c>
    </row>
    <row r="32" spans="1:7" ht="15">
      <c r="A32" s="168">
        <v>6</v>
      </c>
      <c r="B32" s="174">
        <v>0.003368055555555555</v>
      </c>
      <c r="C32" s="174">
        <f>+'race pace 2'!B7</f>
        <v>0.003298611111111111</v>
      </c>
      <c r="D32" s="174">
        <v>0.003125</v>
      </c>
      <c r="E32" s="176">
        <f t="shared" si="0"/>
        <v>0.01958333333333333</v>
      </c>
      <c r="F32" s="174">
        <f t="shared" si="1"/>
        <v>0.0032638888888888887</v>
      </c>
      <c r="G32" s="170">
        <v>131</v>
      </c>
    </row>
    <row r="33" spans="1:7" ht="15">
      <c r="A33" s="168">
        <v>7</v>
      </c>
      <c r="B33" s="174">
        <v>0.003368055555555555</v>
      </c>
      <c r="C33" s="174">
        <f>+'race pace 2'!B8</f>
        <v>0.003298611111111111</v>
      </c>
      <c r="D33" s="174">
        <v>0.0032175925925925926</v>
      </c>
      <c r="E33" s="176">
        <f t="shared" si="0"/>
        <v>0.022800925925925922</v>
      </c>
      <c r="F33" s="174">
        <f t="shared" si="1"/>
        <v>0.003257275132275132</v>
      </c>
      <c r="G33" s="170">
        <v>131</v>
      </c>
    </row>
    <row r="34" spans="1:8" ht="15">
      <c r="A34" s="168">
        <v>8</v>
      </c>
      <c r="B34" s="174">
        <v>0.003368055555555555</v>
      </c>
      <c r="C34" s="174">
        <f>+'race pace 2'!B9</f>
        <v>0.003298611111111111</v>
      </c>
      <c r="D34" s="174">
        <v>0.0032291666666666666</v>
      </c>
      <c r="E34" s="176">
        <f t="shared" si="0"/>
        <v>0.02603009259259259</v>
      </c>
      <c r="F34" s="174">
        <f t="shared" si="1"/>
        <v>0.003253761574074074</v>
      </c>
      <c r="G34" s="170">
        <v>132</v>
      </c>
      <c r="H34" s="169"/>
    </row>
    <row r="35" spans="1:7" ht="15">
      <c r="A35" s="168">
        <v>9</v>
      </c>
      <c r="B35" s="174">
        <v>0.003368055555555555</v>
      </c>
      <c r="C35" s="174">
        <f>+'race pace 2'!B10</f>
        <v>0.003298611111111111</v>
      </c>
      <c r="D35" s="174">
        <v>0.003310185185185185</v>
      </c>
      <c r="E35" s="176">
        <f t="shared" si="0"/>
        <v>0.029340277777777778</v>
      </c>
      <c r="F35" s="174">
        <f t="shared" si="1"/>
        <v>0.003260030864197531</v>
      </c>
      <c r="G35" s="170">
        <v>133</v>
      </c>
    </row>
    <row r="36" spans="1:7" ht="15">
      <c r="A36" s="168">
        <v>10</v>
      </c>
      <c r="B36" s="175">
        <v>0.003368055555555555</v>
      </c>
      <c r="C36" s="175">
        <f>+'race pace 2'!B11</f>
        <v>0.003298611111111111</v>
      </c>
      <c r="D36" s="174">
        <v>0.003275462962962963</v>
      </c>
      <c r="E36" s="177">
        <f t="shared" si="0"/>
        <v>0.032615740740740744</v>
      </c>
      <c r="F36" s="175">
        <f t="shared" si="1"/>
        <v>0.0032615740740740743</v>
      </c>
      <c r="G36" s="172">
        <v>131</v>
      </c>
    </row>
    <row r="37" spans="1:7" ht="15">
      <c r="A37" s="168">
        <v>11</v>
      </c>
      <c r="B37" s="174">
        <v>0.003368055555555555</v>
      </c>
      <c r="C37" s="174">
        <f>+'race pace 2'!B12</f>
        <v>0.003356481481481481</v>
      </c>
      <c r="D37" s="175">
        <v>0.003298611111111111</v>
      </c>
      <c r="E37" s="176">
        <f t="shared" si="0"/>
        <v>0.03591435185185186</v>
      </c>
      <c r="F37" s="174">
        <f t="shared" si="1"/>
        <v>0.003264941077441078</v>
      </c>
      <c r="G37" s="170">
        <v>132</v>
      </c>
    </row>
    <row r="38" spans="1:7" ht="15">
      <c r="A38" s="168">
        <v>12</v>
      </c>
      <c r="B38" s="174">
        <v>0.003368055555555555</v>
      </c>
      <c r="C38" s="174">
        <f>+'race pace 2'!B13</f>
        <v>0.003356481481481481</v>
      </c>
      <c r="D38" s="174">
        <v>0.0032407407407407406</v>
      </c>
      <c r="E38" s="176">
        <f t="shared" si="0"/>
        <v>0.039155092592592596</v>
      </c>
      <c r="F38" s="174">
        <f t="shared" si="1"/>
        <v>0.0032629243827160498</v>
      </c>
      <c r="G38" s="170">
        <v>132</v>
      </c>
    </row>
    <row r="39" spans="1:7" ht="15">
      <c r="A39" s="168">
        <v>13</v>
      </c>
      <c r="B39" s="174">
        <v>0.003368055555555555</v>
      </c>
      <c r="C39" s="174">
        <f>+'race pace 2'!B14</f>
        <v>0.003356481481481481</v>
      </c>
      <c r="D39" s="174">
        <v>0.003275462962962963</v>
      </c>
      <c r="E39" s="176">
        <f t="shared" si="0"/>
        <v>0.04243055555555556</v>
      </c>
      <c r="F39" s="174">
        <f t="shared" si="1"/>
        <v>0.0032638888888888895</v>
      </c>
      <c r="G39" s="170">
        <v>129</v>
      </c>
    </row>
    <row r="40" spans="1:7" ht="15">
      <c r="A40" s="168">
        <v>14</v>
      </c>
      <c r="B40" s="174">
        <v>0.003368055555555555</v>
      </c>
      <c r="C40" s="174">
        <f>+'race pace 2'!B15</f>
        <v>0.003356481481481481</v>
      </c>
      <c r="D40" s="174">
        <v>0.0033333333333333335</v>
      </c>
      <c r="E40" s="176">
        <f t="shared" si="0"/>
        <v>0.045763888888888896</v>
      </c>
      <c r="F40" s="174">
        <f t="shared" si="1"/>
        <v>0.0032688492063492067</v>
      </c>
      <c r="G40" s="170">
        <v>128</v>
      </c>
    </row>
    <row r="41" spans="1:7" ht="15">
      <c r="A41" s="168">
        <v>15</v>
      </c>
      <c r="B41" s="175">
        <v>0.003368055555555555</v>
      </c>
      <c r="C41" s="175">
        <f>+'race pace 2'!B16</f>
        <v>0.003356481481481481</v>
      </c>
      <c r="D41" s="174">
        <v>0.0033912037037037036</v>
      </c>
      <c r="E41" s="177">
        <f t="shared" si="0"/>
        <v>0.0491550925925926</v>
      </c>
      <c r="F41" s="175">
        <f t="shared" si="1"/>
        <v>0.0032770061728395064</v>
      </c>
      <c r="G41" s="172">
        <v>127</v>
      </c>
    </row>
    <row r="42" spans="1:7" ht="15">
      <c r="A42" s="168">
        <v>16</v>
      </c>
      <c r="B42" s="174">
        <v>0.003368055555555555</v>
      </c>
      <c r="C42" s="174">
        <f>+'race pace 2'!B17</f>
        <v>0.003356481481481481</v>
      </c>
      <c r="D42" s="175">
        <v>0.003298611111111111</v>
      </c>
      <c r="E42" s="176">
        <f t="shared" si="0"/>
        <v>0.05245370370370371</v>
      </c>
      <c r="F42" s="174">
        <f t="shared" si="1"/>
        <v>0.003278356481481482</v>
      </c>
      <c r="G42" s="170">
        <v>125</v>
      </c>
    </row>
    <row r="43" spans="1:7" ht="15">
      <c r="A43" s="168">
        <v>17</v>
      </c>
      <c r="B43" s="174">
        <v>0.003368055555555555</v>
      </c>
      <c r="C43" s="174">
        <f>+'race pace 2'!B18</f>
        <v>0.003356481481481481</v>
      </c>
      <c r="D43" s="174">
        <v>0.003310185185185185</v>
      </c>
      <c r="E43" s="176">
        <f t="shared" si="0"/>
        <v>0.0557638888888889</v>
      </c>
      <c r="F43" s="174">
        <f t="shared" si="1"/>
        <v>0.0032802287581699353</v>
      </c>
      <c r="G43" s="170">
        <v>127</v>
      </c>
    </row>
    <row r="44" spans="1:7" ht="15">
      <c r="A44" s="168">
        <v>18</v>
      </c>
      <c r="B44" s="174">
        <v>0.003368055555555555</v>
      </c>
      <c r="C44" s="174">
        <f>+'race pace 2'!B19</f>
        <v>0.003356481481481481</v>
      </c>
      <c r="D44" s="174">
        <v>0.003263888888888889</v>
      </c>
      <c r="E44" s="176">
        <f t="shared" si="0"/>
        <v>0.05902777777777779</v>
      </c>
      <c r="F44" s="174">
        <f t="shared" si="1"/>
        <v>0.0032793209876543217</v>
      </c>
      <c r="G44" s="170">
        <v>126</v>
      </c>
    </row>
    <row r="45" spans="1:7" ht="15">
      <c r="A45" s="168">
        <v>19</v>
      </c>
      <c r="B45" s="174">
        <v>0.003368055555555555</v>
      </c>
      <c r="C45" s="174">
        <f>+'race pace 2'!B20</f>
        <v>0.003356481481481481</v>
      </c>
      <c r="D45" s="174">
        <v>0.003275462962962963</v>
      </c>
      <c r="E45" s="176">
        <f t="shared" si="0"/>
        <v>0.062303240740740756</v>
      </c>
      <c r="F45" s="174">
        <f t="shared" si="1"/>
        <v>0.0032791179337231975</v>
      </c>
      <c r="G45" s="170">
        <v>127</v>
      </c>
    </row>
    <row r="46" spans="1:7" ht="15">
      <c r="A46" s="168">
        <v>20</v>
      </c>
      <c r="B46" s="175">
        <v>0.003368055555555555</v>
      </c>
      <c r="C46" s="175">
        <f>+'race pace 2'!B21</f>
        <v>0.003356481481481481</v>
      </c>
      <c r="D46" s="175">
        <v>0.003263888888888889</v>
      </c>
      <c r="E46" s="177">
        <f t="shared" si="0"/>
        <v>0.06556712962962964</v>
      </c>
      <c r="F46" s="175">
        <f t="shared" si="1"/>
        <v>0.003278356481481482</v>
      </c>
      <c r="G46" s="172">
        <v>129</v>
      </c>
    </row>
    <row r="47" spans="1:7" ht="15">
      <c r="A47" s="168">
        <v>21</v>
      </c>
      <c r="B47" s="174">
        <v>0.003368055555555555</v>
      </c>
      <c r="C47" s="174">
        <f>+'race pace 2'!B22</f>
        <v>0.003356481481481481</v>
      </c>
      <c r="D47" s="211">
        <v>0.003263888888888889</v>
      </c>
      <c r="E47" s="176">
        <f t="shared" si="0"/>
        <v>0.06883101851851853</v>
      </c>
      <c r="F47" s="174">
        <f t="shared" si="1"/>
        <v>0.0032776675485008825</v>
      </c>
      <c r="G47" s="170">
        <v>129</v>
      </c>
    </row>
    <row r="48" spans="1:7" ht="15">
      <c r="A48" s="168">
        <v>22</v>
      </c>
      <c r="B48" s="174">
        <v>0.003368055555555555</v>
      </c>
      <c r="C48" s="174">
        <f>+'race pace 2'!B24</f>
        <v>0.003356481481481481</v>
      </c>
      <c r="D48" s="174">
        <v>0.003321759259259259</v>
      </c>
      <c r="E48" s="176">
        <f t="shared" si="0"/>
        <v>0.07215277777777779</v>
      </c>
      <c r="F48" s="174">
        <f t="shared" si="1"/>
        <v>0.0032796717171717175</v>
      </c>
      <c r="G48" s="170">
        <v>128</v>
      </c>
    </row>
    <row r="49" spans="1:7" ht="15">
      <c r="A49" s="168">
        <v>23</v>
      </c>
      <c r="B49" s="174">
        <v>0.003368055555555555</v>
      </c>
      <c r="C49" s="174">
        <f>+'race pace 2'!B25</f>
        <v>0.003356481481481481</v>
      </c>
      <c r="D49" s="174">
        <v>0.0032870370370370367</v>
      </c>
      <c r="E49" s="176">
        <f t="shared" si="0"/>
        <v>0.07543981481481482</v>
      </c>
      <c r="F49" s="174">
        <f t="shared" si="1"/>
        <v>0.0032799919484702094</v>
      </c>
      <c r="G49" s="170">
        <v>130</v>
      </c>
    </row>
    <row r="50" spans="1:7" ht="15">
      <c r="A50" s="168">
        <v>24</v>
      </c>
      <c r="B50" s="174">
        <v>0.003368055555555555</v>
      </c>
      <c r="C50" s="174">
        <f>+'race pace 2'!B26</f>
        <v>0.003356481481481481</v>
      </c>
      <c r="D50" s="174">
        <v>0.003344907407407407</v>
      </c>
      <c r="E50" s="176">
        <f t="shared" si="0"/>
        <v>0.07878472222222223</v>
      </c>
      <c r="F50" s="174">
        <f t="shared" si="1"/>
        <v>0.0032826967592592595</v>
      </c>
      <c r="G50" s="170">
        <v>128</v>
      </c>
    </row>
    <row r="51" spans="1:7" ht="15">
      <c r="A51" s="168">
        <v>25</v>
      </c>
      <c r="B51" s="175">
        <v>0.003368055555555555</v>
      </c>
      <c r="C51" s="175">
        <f>+'race pace 2'!B27</f>
        <v>0.003356481481481481</v>
      </c>
      <c r="D51" s="175">
        <v>0.003344907407407407</v>
      </c>
      <c r="E51" s="177">
        <f t="shared" si="0"/>
        <v>0.08212962962962964</v>
      </c>
      <c r="F51" s="175">
        <f t="shared" si="1"/>
        <v>0.0032851851851851853</v>
      </c>
      <c r="G51" s="172">
        <v>128</v>
      </c>
    </row>
    <row r="52" spans="1:7" ht="15">
      <c r="A52" s="168">
        <v>26</v>
      </c>
      <c r="B52" s="174">
        <v>0.003368055555555555</v>
      </c>
      <c r="C52" s="174">
        <f>+'race pace 2'!B28</f>
        <v>0.003356481481481481</v>
      </c>
      <c r="D52" s="211">
        <v>0.0034606481481481485</v>
      </c>
      <c r="E52" s="176">
        <f t="shared" si="0"/>
        <v>0.08559027777777778</v>
      </c>
      <c r="F52" s="174">
        <f t="shared" si="1"/>
        <v>0.0032919337606837607</v>
      </c>
      <c r="G52" s="170">
        <v>128</v>
      </c>
    </row>
    <row r="53" spans="1:7" ht="15">
      <c r="A53" s="168">
        <v>27</v>
      </c>
      <c r="B53" s="174">
        <v>0.003368055555555555</v>
      </c>
      <c r="C53" s="174">
        <f>+'race pace 2'!B29</f>
        <v>0.003356481481481481</v>
      </c>
      <c r="D53" s="174">
        <v>0.00337962962962963</v>
      </c>
      <c r="E53" s="176">
        <f t="shared" si="0"/>
        <v>0.08896990740740741</v>
      </c>
      <c r="F53" s="174">
        <f t="shared" si="1"/>
        <v>0.003295181755829904</v>
      </c>
      <c r="G53" s="170">
        <v>129</v>
      </c>
    </row>
    <row r="54" spans="1:7" ht="15">
      <c r="A54" s="168">
        <v>28</v>
      </c>
      <c r="B54" s="174">
        <v>0.003368055555555555</v>
      </c>
      <c r="C54" s="174">
        <f>+'race pace 2'!B30</f>
        <v>0.003356481481481481</v>
      </c>
      <c r="D54" s="174">
        <v>0.003368055555555555</v>
      </c>
      <c r="E54" s="176">
        <f t="shared" si="0"/>
        <v>0.09233796296296297</v>
      </c>
      <c r="F54" s="174">
        <f t="shared" si="1"/>
        <v>0.003297784391534392</v>
      </c>
      <c r="G54" s="170">
        <v>130</v>
      </c>
    </row>
    <row r="55" spans="1:7" ht="15">
      <c r="A55" s="168">
        <v>29</v>
      </c>
      <c r="B55" s="174">
        <v>0.003368055555555555</v>
      </c>
      <c r="C55" s="174">
        <f>+'race pace 2'!B31</f>
        <v>0.003356481481481481</v>
      </c>
      <c r="D55" s="174">
        <v>0.0034027777777777784</v>
      </c>
      <c r="E55" s="176">
        <f t="shared" si="0"/>
        <v>0.09574074074074075</v>
      </c>
      <c r="F55" s="174">
        <f t="shared" si="1"/>
        <v>0.0033014048531289915</v>
      </c>
      <c r="G55" s="170">
        <v>132</v>
      </c>
    </row>
    <row r="56" spans="1:7" ht="15">
      <c r="A56" s="168">
        <v>30</v>
      </c>
      <c r="B56" s="174">
        <v>0.003368055555555555</v>
      </c>
      <c r="C56" s="174">
        <f>+'race pace 2'!B32</f>
        <v>0.003356481481481481</v>
      </c>
      <c r="D56" s="174">
        <v>0.0032870370370370367</v>
      </c>
      <c r="E56" s="176">
        <f t="shared" si="0"/>
        <v>0.09902777777777778</v>
      </c>
      <c r="F56" s="174">
        <f t="shared" si="1"/>
        <v>0.0033009259259259263</v>
      </c>
      <c r="G56" s="170">
        <v>136</v>
      </c>
    </row>
    <row r="57" spans="1:7" ht="15">
      <c r="A57" s="168">
        <v>31</v>
      </c>
      <c r="B57" s="174">
        <v>0.003368055555555555</v>
      </c>
      <c r="C57" s="174">
        <f>+'race pace 2'!B33</f>
        <v>0.003414351851851852</v>
      </c>
      <c r="D57" s="174">
        <v>0.0034027777777777784</v>
      </c>
      <c r="E57" s="176">
        <f t="shared" si="0"/>
        <v>0.10243055555555557</v>
      </c>
      <c r="F57" s="174">
        <f t="shared" si="1"/>
        <v>0.0033042114695340506</v>
      </c>
      <c r="G57" s="170">
        <v>134</v>
      </c>
    </row>
    <row r="58" spans="1:7" ht="15">
      <c r="A58" s="168">
        <v>32</v>
      </c>
      <c r="B58" s="174">
        <v>0.003368055555555555</v>
      </c>
      <c r="C58" s="174">
        <f>+'race pace 2'!B34</f>
        <v>0.003414351851851852</v>
      </c>
      <c r="D58" s="174">
        <v>0.0034375</v>
      </c>
      <c r="E58" s="176">
        <f t="shared" si="0"/>
        <v>0.10586805555555556</v>
      </c>
      <c r="F58" s="174">
        <f t="shared" si="1"/>
        <v>0.0033083767361111113</v>
      </c>
      <c r="G58" s="170">
        <v>135</v>
      </c>
    </row>
    <row r="59" spans="1:7" ht="15">
      <c r="A59" s="168">
        <v>33</v>
      </c>
      <c r="B59" s="174">
        <v>0.003368055555555555</v>
      </c>
      <c r="C59" s="174">
        <f>+'race pace 2'!B35</f>
        <v>0.003414351851851852</v>
      </c>
      <c r="D59" s="174">
        <v>0.0034027777777777784</v>
      </c>
      <c r="E59" s="176">
        <f t="shared" si="0"/>
        <v>0.10927083333333334</v>
      </c>
      <c r="F59" s="174">
        <f t="shared" si="1"/>
        <v>0.0033112373737373742</v>
      </c>
      <c r="G59" s="170">
        <v>134</v>
      </c>
    </row>
    <row r="60" spans="1:7" ht="15">
      <c r="A60" s="168">
        <v>34</v>
      </c>
      <c r="B60" s="174">
        <v>0.003368055555555555</v>
      </c>
      <c r="C60" s="174">
        <f>+'race pace 2'!B36</f>
        <v>0.003414351851851852</v>
      </c>
      <c r="D60" s="174">
        <v>0.003483796296296296</v>
      </c>
      <c r="E60" s="176">
        <f t="shared" si="0"/>
        <v>0.11275462962962964</v>
      </c>
      <c r="F60" s="174">
        <f t="shared" si="1"/>
        <v>0.0033163126361655773</v>
      </c>
      <c r="G60" s="170">
        <v>135</v>
      </c>
    </row>
    <row r="61" spans="1:7" ht="15">
      <c r="A61" s="168">
        <v>35</v>
      </c>
      <c r="B61" s="174">
        <v>0.003368055555555555</v>
      </c>
      <c r="C61" s="174">
        <f>+'race pace 2'!B37</f>
        <v>0.003414351851851852</v>
      </c>
      <c r="D61" s="174">
        <v>0.003483796296296296</v>
      </c>
      <c r="E61" s="176">
        <f t="shared" si="0"/>
        <v>0.11623842592592593</v>
      </c>
      <c r="F61" s="174">
        <f t="shared" si="1"/>
        <v>0.0033210978835978835</v>
      </c>
      <c r="G61" s="170">
        <v>136</v>
      </c>
    </row>
    <row r="62" spans="1:7" ht="15">
      <c r="A62" s="168">
        <v>36</v>
      </c>
      <c r="B62" s="174">
        <v>0.003368055555555555</v>
      </c>
      <c r="C62" s="174">
        <f>+'race pace 2'!B38</f>
        <v>0.003472222222222222</v>
      </c>
      <c r="D62" s="174">
        <v>0.003587962962962963</v>
      </c>
      <c r="E62" s="176">
        <f t="shared" si="0"/>
        <v>0.11982638888888889</v>
      </c>
      <c r="F62" s="174">
        <f t="shared" si="1"/>
        <v>0.0033285108024691356</v>
      </c>
      <c r="G62" s="170">
        <v>134</v>
      </c>
    </row>
    <row r="63" spans="1:7" ht="15">
      <c r="A63" s="168">
        <v>37</v>
      </c>
      <c r="B63" s="174">
        <v>0.003368055555555555</v>
      </c>
      <c r="C63" s="174">
        <f>+'race pace 2'!B39</f>
        <v>0.003472222222222222</v>
      </c>
      <c r="D63" s="174">
        <v>0.0034953703703703705</v>
      </c>
      <c r="E63" s="176">
        <f t="shared" si="0"/>
        <v>0.12332175925925926</v>
      </c>
      <c r="F63" s="174">
        <f t="shared" si="1"/>
        <v>0.0033330205205205203</v>
      </c>
      <c r="G63" s="170">
        <v>136</v>
      </c>
    </row>
    <row r="64" spans="1:7" ht="15">
      <c r="A64" s="168">
        <v>38</v>
      </c>
      <c r="B64" s="174">
        <v>0.003368055555555555</v>
      </c>
      <c r="C64" s="174">
        <f>+'race pace 2'!B40</f>
        <v>0.003472222222222222</v>
      </c>
      <c r="D64" s="174">
        <v>0.0035763888888888894</v>
      </c>
      <c r="E64" s="176">
        <f t="shared" si="0"/>
        <v>0.12689814814814815</v>
      </c>
      <c r="F64" s="174">
        <f t="shared" si="1"/>
        <v>0.0033394249512670566</v>
      </c>
      <c r="G64" s="170">
        <v>134</v>
      </c>
    </row>
    <row r="65" spans="1:7" ht="15">
      <c r="A65" s="168">
        <v>39</v>
      </c>
      <c r="B65" s="174">
        <v>0.003368055555555555</v>
      </c>
      <c r="C65" s="174">
        <f>+'race pace 2'!B41</f>
        <v>0.003472222222222222</v>
      </c>
      <c r="D65" s="174">
        <v>0.0036111111111111114</v>
      </c>
      <c r="E65" s="176">
        <f t="shared" si="0"/>
        <v>0.13050925925925927</v>
      </c>
      <c r="F65" s="174">
        <f t="shared" si="1"/>
        <v>0.00334639126305793</v>
      </c>
      <c r="G65" s="170">
        <v>134</v>
      </c>
    </row>
    <row r="66" spans="1:7" ht="15">
      <c r="A66" s="168">
        <v>40</v>
      </c>
      <c r="B66" s="174">
        <v>0.003368055555555555</v>
      </c>
      <c r="C66" s="174">
        <f>+'race pace 2'!B42</f>
        <v>0.003472222222222222</v>
      </c>
      <c r="D66" s="174">
        <v>0.0037268518518518514</v>
      </c>
      <c r="E66" s="176">
        <f t="shared" si="0"/>
        <v>0.1342361111111111</v>
      </c>
      <c r="F66" s="174">
        <f t="shared" si="1"/>
        <v>0.003355902777777778</v>
      </c>
      <c r="G66" s="170">
        <v>132</v>
      </c>
    </row>
    <row r="67" spans="1:7" ht="15">
      <c r="A67" s="168">
        <v>41</v>
      </c>
      <c r="B67" s="174">
        <v>0.003368055555555555</v>
      </c>
      <c r="C67" s="174">
        <f>+'race pace 2'!B43</f>
        <v>0.003472222222222222</v>
      </c>
      <c r="D67" s="174">
        <v>0.003761574074074074</v>
      </c>
      <c r="E67" s="176">
        <f t="shared" si="0"/>
        <v>0.13799768518518518</v>
      </c>
      <c r="F67" s="174">
        <f t="shared" si="1"/>
        <v>0.003365797199638663</v>
      </c>
      <c r="G67" s="170">
        <v>130</v>
      </c>
    </row>
    <row r="68" spans="1:7" ht="15">
      <c r="A68" s="168">
        <v>42.2</v>
      </c>
      <c r="B68" s="174">
        <v>0.003368055555555555</v>
      </c>
      <c r="C68" s="174">
        <f>+'race pace 2'!B44</f>
        <v>0.003472222222222222</v>
      </c>
      <c r="D68" s="174">
        <v>0.0035185185185185185</v>
      </c>
      <c r="E68" s="176">
        <f>+E67+D68+0.195*D68</f>
        <v>0.14220231481481482</v>
      </c>
      <c r="F68" s="174">
        <f t="shared" si="1"/>
        <v>0.003369723099877128</v>
      </c>
      <c r="G68" s="170">
        <v>132</v>
      </c>
    </row>
    <row r="69" spans="7:10" ht="15">
      <c r="G69" s="170"/>
      <c r="I69" s="171"/>
      <c r="J69" s="171"/>
    </row>
    <row r="70" spans="3:10" ht="15">
      <c r="C70" s="174"/>
      <c r="E70" s="176"/>
      <c r="J70">
        <v>1.195</v>
      </c>
    </row>
    <row r="71" spans="3:10" ht="15">
      <c r="C71" s="174"/>
      <c r="E71" s="176"/>
      <c r="J71" s="169">
        <v>0.004201388888888889</v>
      </c>
    </row>
    <row r="72" ht="15">
      <c r="J72" s="169">
        <f>+J71/J70</f>
        <v>0.00351580660158066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9" sqref="A19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</cols>
  <sheetData>
    <row r="1" spans="1:10" ht="15.75">
      <c r="A1" s="2" t="s">
        <v>58</v>
      </c>
      <c r="E1" s="10" t="s">
        <v>39</v>
      </c>
      <c r="F1" s="11">
        <f>F2/1.609</f>
        <v>26.22436295835923</v>
      </c>
      <c r="G1" s="12"/>
      <c r="H1" s="13"/>
      <c r="J1" s="151" t="s">
        <v>59</v>
      </c>
    </row>
    <row r="2" spans="5:10" ht="15">
      <c r="E2" s="14" t="s">
        <v>62</v>
      </c>
      <c r="F2" s="15">
        <v>42.195</v>
      </c>
      <c r="G2" s="16"/>
      <c r="H2" s="17"/>
      <c r="J2" s="152" t="s">
        <v>55</v>
      </c>
    </row>
    <row r="3" ht="16.5" thickBot="1">
      <c r="J3" s="132">
        <v>0.4583333333333333</v>
      </c>
    </row>
    <row r="4" spans="1:10" ht="15.75" hidden="1" thickBot="1">
      <c r="A4" t="s">
        <v>37</v>
      </c>
      <c r="B4">
        <f>+B5*60+B6</f>
        <v>200</v>
      </c>
      <c r="C4">
        <f aca="true" t="shared" si="0" ref="C4:J4">+C5*60+C6</f>
        <v>202</v>
      </c>
      <c r="D4">
        <f t="shared" si="0"/>
        <v>204</v>
      </c>
      <c r="E4" s="4">
        <f t="shared" si="0"/>
        <v>204.9</v>
      </c>
      <c r="F4">
        <f t="shared" si="0"/>
        <v>208</v>
      </c>
      <c r="G4">
        <f t="shared" si="0"/>
        <v>210</v>
      </c>
      <c r="H4">
        <f t="shared" si="0"/>
        <v>220</v>
      </c>
      <c r="J4">
        <f t="shared" si="0"/>
        <v>205</v>
      </c>
    </row>
    <row r="5" spans="1:10" ht="15.75">
      <c r="A5" t="s">
        <v>56</v>
      </c>
      <c r="B5" s="5">
        <v>3</v>
      </c>
      <c r="C5" s="5">
        <v>3</v>
      </c>
      <c r="D5" s="5">
        <v>3</v>
      </c>
      <c r="E5" s="19">
        <v>3</v>
      </c>
      <c r="F5" s="5">
        <v>3</v>
      </c>
      <c r="G5" s="5">
        <v>3</v>
      </c>
      <c r="H5" s="5">
        <v>3</v>
      </c>
      <c r="J5" s="131">
        <v>3</v>
      </c>
    </row>
    <row r="6" spans="1:10" ht="15.75">
      <c r="A6" t="s">
        <v>57</v>
      </c>
      <c r="B6" s="5">
        <v>20</v>
      </c>
      <c r="C6" s="5">
        <v>22</v>
      </c>
      <c r="D6" s="5">
        <v>24</v>
      </c>
      <c r="E6" s="20">
        <v>24.9</v>
      </c>
      <c r="F6" s="5">
        <v>28</v>
      </c>
      <c r="G6" s="5">
        <v>30</v>
      </c>
      <c r="H6" s="5">
        <v>40</v>
      </c>
      <c r="J6" s="131">
        <v>25</v>
      </c>
    </row>
    <row r="7" spans="2:10" ht="8.25" customHeight="1">
      <c r="B7" s="5"/>
      <c r="C7" s="5"/>
      <c r="D7" s="5"/>
      <c r="E7" s="20"/>
      <c r="F7" s="5"/>
      <c r="G7" s="5"/>
      <c r="H7" s="5"/>
      <c r="J7" s="131"/>
    </row>
    <row r="8" spans="1:10" ht="15">
      <c r="A8" s="3" t="s">
        <v>61</v>
      </c>
      <c r="B8" s="6"/>
      <c r="C8" s="6"/>
      <c r="D8" s="6"/>
      <c r="E8" s="21"/>
      <c r="F8" s="6"/>
      <c r="G8" s="6"/>
      <c r="H8" s="7"/>
      <c r="J8" s="133"/>
    </row>
    <row r="9" spans="1:10" ht="15">
      <c r="A9" s="144">
        <v>1</v>
      </c>
      <c r="B9" s="141">
        <f aca="true" t="shared" si="1" ref="B9:H9">B4/$A$19/24/60</f>
        <v>0.003291595897354873</v>
      </c>
      <c r="C9" s="141">
        <f t="shared" si="1"/>
        <v>0.003324511856328422</v>
      </c>
      <c r="D9" s="137">
        <f t="shared" si="1"/>
        <v>0.0033574278153019705</v>
      </c>
      <c r="E9" s="22">
        <f t="shared" si="1"/>
        <v>0.0033722399968400684</v>
      </c>
      <c r="F9" s="141">
        <f t="shared" si="1"/>
        <v>0.0034232597332490683</v>
      </c>
      <c r="G9" s="148">
        <f t="shared" si="1"/>
        <v>0.003456175692222617</v>
      </c>
      <c r="H9" s="141">
        <f t="shared" si="1"/>
        <v>0.0036207554870903605</v>
      </c>
      <c r="J9" s="134">
        <f aca="true" t="shared" si="2" ref="J9:J19">($J$4/$A$19/24/60)*A9+$J$3</f>
        <v>0.46170721912812207</v>
      </c>
    </row>
    <row r="10" spans="1:10" ht="15">
      <c r="A10" s="144">
        <v>5</v>
      </c>
      <c r="B10" s="141">
        <f aca="true" t="shared" si="3" ref="B10:H10">$A$10*B9</f>
        <v>0.016457979486774365</v>
      </c>
      <c r="C10" s="141">
        <f t="shared" si="3"/>
        <v>0.016622559281642107</v>
      </c>
      <c r="D10" s="137">
        <f t="shared" si="3"/>
        <v>0.016787139076509854</v>
      </c>
      <c r="E10" s="22">
        <f t="shared" si="3"/>
        <v>0.016861199984200343</v>
      </c>
      <c r="F10" s="141">
        <f t="shared" si="3"/>
        <v>0.017116298666245342</v>
      </c>
      <c r="G10" s="148">
        <f t="shared" si="3"/>
        <v>0.017280878461113085</v>
      </c>
      <c r="H10" s="141">
        <f t="shared" si="3"/>
        <v>0.0181037774354518</v>
      </c>
      <c r="J10" s="134">
        <f t="shared" si="2"/>
        <v>0.47520276230727704</v>
      </c>
    </row>
    <row r="11" spans="1:10" ht="15">
      <c r="A11" s="144">
        <v>10</v>
      </c>
      <c r="B11" s="141">
        <f aca="true" t="shared" si="4" ref="B11:H11">B9*$A$11</f>
        <v>0.03291595897354873</v>
      </c>
      <c r="C11" s="141">
        <f t="shared" si="4"/>
        <v>0.033245118563284215</v>
      </c>
      <c r="D11" s="137">
        <f t="shared" si="4"/>
        <v>0.03357427815301971</v>
      </c>
      <c r="E11" s="22">
        <f t="shared" si="4"/>
        <v>0.033722399968400686</v>
      </c>
      <c r="F11" s="141">
        <f t="shared" si="4"/>
        <v>0.034232597332490684</v>
      </c>
      <c r="G11" s="148">
        <f t="shared" si="4"/>
        <v>0.03456175692222617</v>
      </c>
      <c r="H11" s="141">
        <f t="shared" si="4"/>
        <v>0.0362075548709036</v>
      </c>
      <c r="J11" s="134">
        <f t="shared" si="2"/>
        <v>0.49207219128122076</v>
      </c>
    </row>
    <row r="12" spans="1:10" ht="15">
      <c r="A12" s="144">
        <v>15</v>
      </c>
      <c r="B12" s="141">
        <f aca="true" t="shared" si="5" ref="B12:H12">B9*$A$12</f>
        <v>0.0493739384603231</v>
      </c>
      <c r="C12" s="141">
        <f t="shared" si="5"/>
        <v>0.04986767784492633</v>
      </c>
      <c r="D12" s="137">
        <f t="shared" si="5"/>
        <v>0.05036141722952956</v>
      </c>
      <c r="E12" s="22">
        <f t="shared" si="5"/>
        <v>0.050583599952601026</v>
      </c>
      <c r="F12" s="141">
        <f t="shared" si="5"/>
        <v>0.05134889599873602</v>
      </c>
      <c r="G12" s="148">
        <f t="shared" si="5"/>
        <v>0.051842635383339254</v>
      </c>
      <c r="H12" s="141">
        <f t="shared" si="5"/>
        <v>0.05431133230635541</v>
      </c>
      <c r="J12" s="134">
        <f t="shared" si="2"/>
        <v>0.5089416202551645</v>
      </c>
    </row>
    <row r="13" spans="1:10" ht="15">
      <c r="A13" s="144">
        <v>20</v>
      </c>
      <c r="B13" s="141">
        <f aca="true" t="shared" si="6" ref="B13:H13">B9*$A$13</f>
        <v>0.06583191794709746</v>
      </c>
      <c r="C13" s="141">
        <f t="shared" si="6"/>
        <v>0.06649023712656843</v>
      </c>
      <c r="D13" s="137">
        <f t="shared" si="6"/>
        <v>0.06714855630603941</v>
      </c>
      <c r="E13" s="22">
        <f t="shared" si="6"/>
        <v>0.06744479993680137</v>
      </c>
      <c r="F13" s="141">
        <f t="shared" si="6"/>
        <v>0.06846519466498137</v>
      </c>
      <c r="G13" s="148">
        <f t="shared" si="6"/>
        <v>0.06912351384445234</v>
      </c>
      <c r="H13" s="141">
        <f t="shared" si="6"/>
        <v>0.0724151097418072</v>
      </c>
      <c r="J13" s="134">
        <f t="shared" si="2"/>
        <v>0.5258110492291082</v>
      </c>
    </row>
    <row r="14" spans="1:10" ht="15">
      <c r="A14" s="144">
        <v>21.1</v>
      </c>
      <c r="B14" s="141">
        <f aca="true" t="shared" si="7" ref="B14:H14">+B19/2</f>
        <v>0.06944444444444443</v>
      </c>
      <c r="C14" s="141">
        <f t="shared" si="7"/>
        <v>0.07013888888888888</v>
      </c>
      <c r="D14" s="137">
        <f t="shared" si="7"/>
        <v>0.07083333333333332</v>
      </c>
      <c r="E14" s="22">
        <f t="shared" si="7"/>
        <v>0.07114583333333334</v>
      </c>
      <c r="F14" s="141">
        <f t="shared" si="7"/>
        <v>0.07222222222222222</v>
      </c>
      <c r="G14" s="148">
        <f t="shared" si="7"/>
        <v>0.07291666666666666</v>
      </c>
      <c r="H14" s="141">
        <f t="shared" si="7"/>
        <v>0.07638888888888888</v>
      </c>
      <c r="J14" s="134">
        <f t="shared" si="2"/>
        <v>0.5295223236033758</v>
      </c>
    </row>
    <row r="15" spans="1:10" ht="15">
      <c r="A15" s="144">
        <v>25</v>
      </c>
      <c r="B15" s="141">
        <f aca="true" t="shared" si="8" ref="B15:H15">B9*$A$15</f>
        <v>0.08228989743387183</v>
      </c>
      <c r="C15" s="141">
        <f t="shared" si="8"/>
        <v>0.08311279640821055</v>
      </c>
      <c r="D15" s="137">
        <f t="shared" si="8"/>
        <v>0.08393569538254926</v>
      </c>
      <c r="E15" s="22">
        <f t="shared" si="8"/>
        <v>0.08430599992100171</v>
      </c>
      <c r="F15" s="141">
        <f t="shared" si="8"/>
        <v>0.08558149333122671</v>
      </c>
      <c r="G15" s="148">
        <f t="shared" si="8"/>
        <v>0.08640439230556543</v>
      </c>
      <c r="H15" s="141">
        <f t="shared" si="8"/>
        <v>0.090518887177259</v>
      </c>
      <c r="J15" s="134">
        <f t="shared" si="2"/>
        <v>0.5426804782030519</v>
      </c>
    </row>
    <row r="16" spans="1:10" ht="15">
      <c r="A16" s="144">
        <v>30</v>
      </c>
      <c r="B16" s="141">
        <f aca="true" t="shared" si="9" ref="B16:H16">B9*$A$16</f>
        <v>0.0987478769206462</v>
      </c>
      <c r="C16" s="141">
        <f t="shared" si="9"/>
        <v>0.09973535568985266</v>
      </c>
      <c r="D16" s="137">
        <f t="shared" si="9"/>
        <v>0.10072283445905912</v>
      </c>
      <c r="E16" s="22">
        <f t="shared" si="9"/>
        <v>0.10116719990520205</v>
      </c>
      <c r="F16" s="141">
        <f t="shared" si="9"/>
        <v>0.10269779199747205</v>
      </c>
      <c r="G16" s="148">
        <f t="shared" si="9"/>
        <v>0.10368527076667851</v>
      </c>
      <c r="H16" s="141">
        <f t="shared" si="9"/>
        <v>0.10862266461271082</v>
      </c>
      <c r="J16" s="134">
        <f t="shared" si="2"/>
        <v>0.5595499071769957</v>
      </c>
    </row>
    <row r="17" spans="1:10" ht="15">
      <c r="A17" s="144">
        <v>35</v>
      </c>
      <c r="B17" s="141">
        <f aca="true" t="shared" si="10" ref="B17:H17">B9*$A$17</f>
        <v>0.11520585640742056</v>
      </c>
      <c r="C17" s="141">
        <f t="shared" si="10"/>
        <v>0.11635791497149477</v>
      </c>
      <c r="D17" s="137">
        <f t="shared" si="10"/>
        <v>0.11750997353556897</v>
      </c>
      <c r="E17" s="22">
        <f t="shared" si="10"/>
        <v>0.11802839988940239</v>
      </c>
      <c r="F17" s="141">
        <f t="shared" si="10"/>
        <v>0.1198140906637174</v>
      </c>
      <c r="G17" s="148">
        <f t="shared" si="10"/>
        <v>0.1209661492277916</v>
      </c>
      <c r="H17" s="141">
        <f t="shared" si="10"/>
        <v>0.1267264420481626</v>
      </c>
      <c r="J17" s="134">
        <f t="shared" si="2"/>
        <v>0.5764193361509394</v>
      </c>
    </row>
    <row r="18" spans="1:10" ht="15">
      <c r="A18" s="144">
        <v>40</v>
      </c>
      <c r="B18" s="141">
        <f aca="true" t="shared" si="11" ref="B18:H18">B9*$A$18</f>
        <v>0.13166383589419492</v>
      </c>
      <c r="C18" s="141">
        <f t="shared" si="11"/>
        <v>0.13298047425313686</v>
      </c>
      <c r="D18" s="137">
        <f t="shared" si="11"/>
        <v>0.13429711261207883</v>
      </c>
      <c r="E18" s="22">
        <f t="shared" si="11"/>
        <v>0.13488959987360274</v>
      </c>
      <c r="F18" s="141">
        <f t="shared" si="11"/>
        <v>0.13693038932996274</v>
      </c>
      <c r="G18" s="148">
        <f t="shared" si="11"/>
        <v>0.13824702768890468</v>
      </c>
      <c r="H18" s="141">
        <f t="shared" si="11"/>
        <v>0.1448302194836144</v>
      </c>
      <c r="J18" s="134">
        <f t="shared" si="2"/>
        <v>0.593288765124883</v>
      </c>
    </row>
    <row r="19" spans="1:10" ht="15.75" thickBot="1">
      <c r="A19" s="145">
        <f>+F2</f>
        <v>42.195</v>
      </c>
      <c r="B19" s="142">
        <f aca="true" t="shared" si="12" ref="B19:H19">B9*$A$19</f>
        <v>0.13888888888888887</v>
      </c>
      <c r="C19" s="142">
        <f t="shared" si="12"/>
        <v>0.14027777777777775</v>
      </c>
      <c r="D19" s="138">
        <f t="shared" si="12"/>
        <v>0.14166666666666664</v>
      </c>
      <c r="E19" s="158">
        <f t="shared" si="12"/>
        <v>0.14229166666666668</v>
      </c>
      <c r="F19" s="142">
        <f t="shared" si="12"/>
        <v>0.14444444444444443</v>
      </c>
      <c r="G19" s="149">
        <f t="shared" si="12"/>
        <v>0.14583333333333331</v>
      </c>
      <c r="H19" s="142">
        <f t="shared" si="12"/>
        <v>0.15277777777777776</v>
      </c>
      <c r="J19" s="135">
        <f t="shared" si="2"/>
        <v>0.6006944444444444</v>
      </c>
    </row>
    <row r="20" spans="1:10" ht="8.25" customHeight="1" thickBot="1">
      <c r="A20" s="153"/>
      <c r="B20" s="139"/>
      <c r="C20" s="139"/>
      <c r="D20" s="139"/>
      <c r="E20" s="139"/>
      <c r="F20" s="139"/>
      <c r="G20" s="139"/>
      <c r="H20" s="139"/>
      <c r="I20" s="153"/>
      <c r="J20" s="154"/>
    </row>
    <row r="21" spans="1:10" ht="15">
      <c r="A21" s="146" t="s">
        <v>60</v>
      </c>
      <c r="B21" s="143"/>
      <c r="C21" s="143"/>
      <c r="D21" s="140"/>
      <c r="E21" s="159"/>
      <c r="F21" s="143"/>
      <c r="G21" s="150"/>
      <c r="H21" s="143"/>
      <c r="J21" s="133"/>
    </row>
    <row r="22" spans="1:10" ht="15">
      <c r="A22" s="144">
        <v>1</v>
      </c>
      <c r="B22" s="141">
        <f aca="true" t="shared" si="13" ref="B22:H22">B4/$A$48/24/60</f>
        <v>0.005296177798843992</v>
      </c>
      <c r="C22" s="141">
        <f t="shared" si="13"/>
        <v>0.005349139576832432</v>
      </c>
      <c r="D22" s="137">
        <f t="shared" si="13"/>
        <v>0.005402101354820872</v>
      </c>
      <c r="E22" s="22">
        <f t="shared" si="13"/>
        <v>0.005425934154915669</v>
      </c>
      <c r="F22" s="141">
        <f t="shared" si="13"/>
        <v>0.005508024910797752</v>
      </c>
      <c r="G22" s="148">
        <f t="shared" si="13"/>
        <v>0.005560986688786191</v>
      </c>
      <c r="H22" s="141">
        <f t="shared" si="13"/>
        <v>0.005825795578728391</v>
      </c>
      <c r="J22" s="134">
        <f aca="true" t="shared" si="14" ref="J22:J48">($J$4/$A$48/24/60)*A22+$J$3</f>
        <v>0.4637619155771484</v>
      </c>
    </row>
    <row r="23" spans="1:10" ht="15" hidden="1" outlineLevel="1">
      <c r="A23" s="144">
        <v>2</v>
      </c>
      <c r="B23" s="141">
        <f>B22*$A$23</f>
        <v>0.010592355597687984</v>
      </c>
      <c r="C23" s="141">
        <f aca="true" t="shared" si="15" ref="C23:H23">C22*$A$23</f>
        <v>0.010698279153664864</v>
      </c>
      <c r="D23" s="137">
        <f t="shared" si="15"/>
        <v>0.010804202709641744</v>
      </c>
      <c r="E23" s="22">
        <f t="shared" si="15"/>
        <v>0.010851868309831338</v>
      </c>
      <c r="F23" s="141">
        <f t="shared" si="15"/>
        <v>0.011016049821595503</v>
      </c>
      <c r="G23" s="141">
        <f t="shared" si="15"/>
        <v>0.011121973377572382</v>
      </c>
      <c r="H23" s="141">
        <f t="shared" si="15"/>
        <v>0.011651591157456781</v>
      </c>
      <c r="J23" s="134">
        <f t="shared" si="14"/>
        <v>0.4691904978209635</v>
      </c>
    </row>
    <row r="24" spans="1:10" ht="15" hidden="1" outlineLevel="1">
      <c r="A24" s="144">
        <v>3</v>
      </c>
      <c r="B24" s="141">
        <f>B22*$A$24</f>
        <v>0.015888533396531977</v>
      </c>
      <c r="C24" s="141">
        <f aca="true" t="shared" si="16" ref="C24:H24">C22*$A$24</f>
        <v>0.016047418730497295</v>
      </c>
      <c r="D24" s="137">
        <f t="shared" si="16"/>
        <v>0.016206304064462614</v>
      </c>
      <c r="E24" s="22">
        <f t="shared" si="16"/>
        <v>0.016277802464747006</v>
      </c>
      <c r="F24" s="141">
        <f t="shared" si="16"/>
        <v>0.016524074732393257</v>
      </c>
      <c r="G24" s="141">
        <f t="shared" si="16"/>
        <v>0.01668296006635857</v>
      </c>
      <c r="H24" s="141">
        <f t="shared" si="16"/>
        <v>0.017477386736185173</v>
      </c>
      <c r="J24" s="134">
        <f t="shared" si="14"/>
        <v>0.4746190800647786</v>
      </c>
    </row>
    <row r="25" spans="1:10" ht="15" hidden="1" outlineLevel="1">
      <c r="A25" s="144">
        <v>4</v>
      </c>
      <c r="B25" s="141">
        <f>B22*$A$25</f>
        <v>0.021184711195375967</v>
      </c>
      <c r="C25" s="141">
        <f aca="true" t="shared" si="17" ref="C25:H25">C22*$A$25</f>
        <v>0.021396558307329727</v>
      </c>
      <c r="D25" s="137">
        <f t="shared" si="17"/>
        <v>0.021608405419283487</v>
      </c>
      <c r="E25" s="22">
        <f t="shared" si="17"/>
        <v>0.021703736619662677</v>
      </c>
      <c r="F25" s="141">
        <f t="shared" si="17"/>
        <v>0.022032099643191007</v>
      </c>
      <c r="G25" s="141">
        <f t="shared" si="17"/>
        <v>0.022243946755144763</v>
      </c>
      <c r="H25" s="141">
        <f t="shared" si="17"/>
        <v>0.023303182314913563</v>
      </c>
      <c r="J25" s="134">
        <f t="shared" si="14"/>
        <v>0.4800476623085937</v>
      </c>
    </row>
    <row r="26" spans="1:10" ht="15" collapsed="1">
      <c r="A26" s="165">
        <v>5</v>
      </c>
      <c r="B26" s="161">
        <f aca="true" t="shared" si="18" ref="B26:H26">B22*$A$26</f>
        <v>0.026480888994219957</v>
      </c>
      <c r="C26" s="162">
        <f t="shared" si="18"/>
        <v>0.02674569788416216</v>
      </c>
      <c r="D26" s="163">
        <f t="shared" si="18"/>
        <v>0.02701050677410436</v>
      </c>
      <c r="E26" s="164">
        <f t="shared" si="18"/>
        <v>0.027129670774578347</v>
      </c>
      <c r="F26" s="162">
        <f t="shared" si="18"/>
        <v>0.027540124553988757</v>
      </c>
      <c r="G26" s="161">
        <f t="shared" si="18"/>
        <v>0.027804933443930955</v>
      </c>
      <c r="H26" s="162">
        <f t="shared" si="18"/>
        <v>0.029128977893641952</v>
      </c>
      <c r="I26" s="166"/>
      <c r="J26" s="135">
        <f t="shared" si="14"/>
        <v>0.4854762445524088</v>
      </c>
    </row>
    <row r="27" spans="1:10" ht="15" hidden="1" outlineLevel="1">
      <c r="A27" s="144">
        <v>6</v>
      </c>
      <c r="B27" s="141">
        <f>B22*$A$27</f>
        <v>0.031777066793063954</v>
      </c>
      <c r="C27" s="141">
        <f aca="true" t="shared" si="19" ref="C27:H27">C22*$A$27</f>
        <v>0.03209483746099459</v>
      </c>
      <c r="D27" s="137">
        <f t="shared" si="19"/>
        <v>0.03241260812892523</v>
      </c>
      <c r="E27" s="22">
        <f t="shared" si="19"/>
        <v>0.03255560492949401</v>
      </c>
      <c r="F27" s="141">
        <f t="shared" si="19"/>
        <v>0.033048149464786514</v>
      </c>
      <c r="G27" s="141">
        <f t="shared" si="19"/>
        <v>0.03336592013271714</v>
      </c>
      <c r="H27" s="141">
        <f t="shared" si="19"/>
        <v>0.034954773472370346</v>
      </c>
      <c r="I27" s="166"/>
      <c r="J27" s="134">
        <f t="shared" si="14"/>
        <v>0.4909048267962239</v>
      </c>
    </row>
    <row r="28" spans="1:10" ht="15" hidden="1" outlineLevel="1">
      <c r="A28" s="144">
        <v>7</v>
      </c>
      <c r="B28" s="141">
        <f>B22*$A$28</f>
        <v>0.037073244591907945</v>
      </c>
      <c r="C28" s="141">
        <f aca="true" t="shared" si="20" ref="C28:H28">C22*$A$28</f>
        <v>0.03744397703782702</v>
      </c>
      <c r="D28" s="137">
        <f t="shared" si="20"/>
        <v>0.0378147094837461</v>
      </c>
      <c r="E28" s="22">
        <f t="shared" si="20"/>
        <v>0.03798153908440968</v>
      </c>
      <c r="F28" s="141">
        <f t="shared" si="20"/>
        <v>0.038556174375584264</v>
      </c>
      <c r="G28" s="141">
        <f t="shared" si="20"/>
        <v>0.038926906821503335</v>
      </c>
      <c r="H28" s="141">
        <f t="shared" si="20"/>
        <v>0.04078056905109873</v>
      </c>
      <c r="I28" s="166"/>
      <c r="J28" s="134">
        <f t="shared" si="14"/>
        <v>0.496333409040039</v>
      </c>
    </row>
    <row r="29" spans="1:10" ht="15" hidden="1" outlineLevel="1">
      <c r="A29" s="144">
        <v>8</v>
      </c>
      <c r="B29" s="141">
        <f>B22*$A$29</f>
        <v>0.042369422390751935</v>
      </c>
      <c r="C29" s="141">
        <f aca="true" t="shared" si="21" ref="C29:H29">C22*$A$29</f>
        <v>0.042793116614659454</v>
      </c>
      <c r="D29" s="137">
        <f t="shared" si="21"/>
        <v>0.043216810838566974</v>
      </c>
      <c r="E29" s="22">
        <f t="shared" si="21"/>
        <v>0.04340747323932535</v>
      </c>
      <c r="F29" s="141">
        <f t="shared" si="21"/>
        <v>0.044064199286382014</v>
      </c>
      <c r="G29" s="141">
        <f t="shared" si="21"/>
        <v>0.044487893510289526</v>
      </c>
      <c r="H29" s="141">
        <f t="shared" si="21"/>
        <v>0.046606364629827125</v>
      </c>
      <c r="I29" s="166"/>
      <c r="J29" s="134">
        <f t="shared" si="14"/>
        <v>0.501761991283854</v>
      </c>
    </row>
    <row r="30" spans="1:10" ht="15" hidden="1" outlineLevel="1">
      <c r="A30" s="144">
        <v>9</v>
      </c>
      <c r="B30" s="141">
        <f>B22*$A$30</f>
        <v>0.047665600189595925</v>
      </c>
      <c r="C30" s="141">
        <f aca="true" t="shared" si="22" ref="C30:H30">C22*$A$30</f>
        <v>0.048142256191491886</v>
      </c>
      <c r="D30" s="137">
        <f t="shared" si="22"/>
        <v>0.04861891219338785</v>
      </c>
      <c r="E30" s="22">
        <f t="shared" si="22"/>
        <v>0.048833407394241024</v>
      </c>
      <c r="F30" s="141">
        <f t="shared" si="22"/>
        <v>0.049572224197179764</v>
      </c>
      <c r="G30" s="141">
        <f t="shared" si="22"/>
        <v>0.05004888019907572</v>
      </c>
      <c r="H30" s="141">
        <f t="shared" si="22"/>
        <v>0.05243216020855552</v>
      </c>
      <c r="I30" s="166"/>
      <c r="J30" s="134">
        <f t="shared" si="14"/>
        <v>0.5071905735276692</v>
      </c>
    </row>
    <row r="31" spans="1:10" ht="15" collapsed="1">
      <c r="A31" s="165">
        <v>10</v>
      </c>
      <c r="B31" s="162">
        <f aca="true" t="shared" si="23" ref="B31:H31">B22*$A$31</f>
        <v>0.052961777988439915</v>
      </c>
      <c r="C31" s="162">
        <f t="shared" si="23"/>
        <v>0.05349139576832432</v>
      </c>
      <c r="D31" s="163">
        <f t="shared" si="23"/>
        <v>0.05402101354820872</v>
      </c>
      <c r="E31" s="164">
        <f t="shared" si="23"/>
        <v>0.054259341549156695</v>
      </c>
      <c r="F31" s="162">
        <f t="shared" si="23"/>
        <v>0.055080249107977514</v>
      </c>
      <c r="G31" s="161">
        <f t="shared" si="23"/>
        <v>0.05560986688786191</v>
      </c>
      <c r="H31" s="162">
        <f t="shared" si="23"/>
        <v>0.058257955787283905</v>
      </c>
      <c r="I31" s="166"/>
      <c r="J31" s="135">
        <f t="shared" si="14"/>
        <v>0.5126191557714842</v>
      </c>
    </row>
    <row r="32" spans="1:10" ht="15" hidden="1" outlineLevel="1">
      <c r="A32" s="144">
        <v>11</v>
      </c>
      <c r="B32" s="141">
        <f>B22*$A$32</f>
        <v>0.05825795578728391</v>
      </c>
      <c r="C32" s="141">
        <f aca="true" t="shared" si="24" ref="C32:H32">C22*$A$32</f>
        <v>0.05884053534515675</v>
      </c>
      <c r="D32" s="137">
        <f t="shared" si="24"/>
        <v>0.05942311490302959</v>
      </c>
      <c r="E32" s="22">
        <f t="shared" si="24"/>
        <v>0.05968527570407236</v>
      </c>
      <c r="F32" s="141">
        <f t="shared" si="24"/>
        <v>0.06058827401877527</v>
      </c>
      <c r="G32" s="141">
        <f t="shared" si="24"/>
        <v>0.0611708535766481</v>
      </c>
      <c r="H32" s="141">
        <f t="shared" si="24"/>
        <v>0.0640837513660123</v>
      </c>
      <c r="I32" s="166"/>
      <c r="J32" s="134">
        <f t="shared" si="14"/>
        <v>0.5180477380152994</v>
      </c>
    </row>
    <row r="33" spans="1:10" ht="15" hidden="1" outlineLevel="1">
      <c r="A33" s="144">
        <v>12</v>
      </c>
      <c r="B33" s="141">
        <f>B22*$A$33</f>
        <v>0.06355413358612791</v>
      </c>
      <c r="C33" s="141">
        <f aca="true" t="shared" si="25" ref="C33:H33">C22*$A$33</f>
        <v>0.06418967492198918</v>
      </c>
      <c r="D33" s="137">
        <f t="shared" si="25"/>
        <v>0.06482521625785045</v>
      </c>
      <c r="E33" s="22">
        <f t="shared" si="25"/>
        <v>0.06511120985898802</v>
      </c>
      <c r="F33" s="141">
        <f t="shared" si="25"/>
        <v>0.06609629892957303</v>
      </c>
      <c r="G33" s="141">
        <f t="shared" si="25"/>
        <v>0.06673184026543429</v>
      </c>
      <c r="H33" s="141">
        <f t="shared" si="25"/>
        <v>0.06990954694474069</v>
      </c>
      <c r="I33" s="166"/>
      <c r="J33" s="134">
        <f t="shared" si="14"/>
        <v>0.5234763202591144</v>
      </c>
    </row>
    <row r="34" spans="1:10" ht="15" hidden="1" outlineLevel="1">
      <c r="A34" s="144">
        <v>13</v>
      </c>
      <c r="B34" s="141">
        <f>B22*$A$34</f>
        <v>0.0688503113849719</v>
      </c>
      <c r="C34" s="141">
        <f aca="true" t="shared" si="26" ref="C34:H34">C22*$A$34</f>
        <v>0.06953881449882161</v>
      </c>
      <c r="D34" s="137">
        <f t="shared" si="26"/>
        <v>0.07022731761267133</v>
      </c>
      <c r="E34" s="22">
        <f t="shared" si="26"/>
        <v>0.0705371440139037</v>
      </c>
      <c r="F34" s="141">
        <f t="shared" si="26"/>
        <v>0.07160432384037077</v>
      </c>
      <c r="G34" s="141">
        <f t="shared" si="26"/>
        <v>0.07229282695422048</v>
      </c>
      <c r="H34" s="141">
        <f t="shared" si="26"/>
        <v>0.07573534252346908</v>
      </c>
      <c r="I34" s="166"/>
      <c r="J34" s="134">
        <f t="shared" si="14"/>
        <v>0.5289049025029295</v>
      </c>
    </row>
    <row r="35" spans="1:10" ht="15" hidden="1" outlineLevel="1">
      <c r="A35" s="160">
        <f>F1/2</f>
        <v>13.112181479179615</v>
      </c>
      <c r="B35" s="141">
        <f>B22*$A$35</f>
        <v>0.06944444444444445</v>
      </c>
      <c r="C35" s="141">
        <f aca="true" t="shared" si="27" ref="C35:H35">C22*$A$35</f>
        <v>0.07013888888888889</v>
      </c>
      <c r="D35" s="137">
        <f t="shared" si="27"/>
        <v>0.07083333333333335</v>
      </c>
      <c r="E35" s="22">
        <f t="shared" si="27"/>
        <v>0.07114583333333332</v>
      </c>
      <c r="F35" s="141">
        <f t="shared" si="27"/>
        <v>0.07222222222222223</v>
      </c>
      <c r="G35" s="141">
        <f t="shared" si="27"/>
        <v>0.07291666666666666</v>
      </c>
      <c r="H35" s="141">
        <f t="shared" si="27"/>
        <v>0.0763888888888889</v>
      </c>
      <c r="I35" s="166"/>
      <c r="J35" s="134">
        <f t="shared" si="14"/>
        <v>0.5295138888888888</v>
      </c>
    </row>
    <row r="36" spans="1:10" ht="15" hidden="1" outlineLevel="1">
      <c r="A36" s="144">
        <v>14</v>
      </c>
      <c r="B36" s="141">
        <f>B22*$A$36</f>
        <v>0.07414648918381589</v>
      </c>
      <c r="C36" s="141">
        <f aca="true" t="shared" si="28" ref="C36:H36">C22*$A$36</f>
        <v>0.07488795407565405</v>
      </c>
      <c r="D36" s="137">
        <f t="shared" si="28"/>
        <v>0.0756294189674922</v>
      </c>
      <c r="E36" s="22">
        <f t="shared" si="28"/>
        <v>0.07596307816881936</v>
      </c>
      <c r="F36" s="141">
        <f t="shared" si="28"/>
        <v>0.07711234875116853</v>
      </c>
      <c r="G36" s="141">
        <f t="shared" si="28"/>
        <v>0.07785381364300667</v>
      </c>
      <c r="H36" s="141">
        <f t="shared" si="28"/>
        <v>0.08156113810219746</v>
      </c>
      <c r="I36" s="166"/>
      <c r="J36" s="134">
        <f t="shared" si="14"/>
        <v>0.5343334847467446</v>
      </c>
    </row>
    <row r="37" spans="1:10" ht="15" collapsed="1">
      <c r="A37" s="165">
        <v>15</v>
      </c>
      <c r="B37" s="162">
        <f aca="true" t="shared" si="29" ref="B37:H37">B22*$A$37</f>
        <v>0.07944266698265988</v>
      </c>
      <c r="C37" s="162">
        <f t="shared" si="29"/>
        <v>0.08023709365248648</v>
      </c>
      <c r="D37" s="163">
        <f t="shared" si="29"/>
        <v>0.08103152032231307</v>
      </c>
      <c r="E37" s="164">
        <f t="shared" si="29"/>
        <v>0.08138901232373504</v>
      </c>
      <c r="F37" s="162">
        <f t="shared" si="29"/>
        <v>0.08262037366196627</v>
      </c>
      <c r="G37" s="161">
        <f t="shared" si="29"/>
        <v>0.08341480033179287</v>
      </c>
      <c r="H37" s="162">
        <f t="shared" si="29"/>
        <v>0.08738693368092586</v>
      </c>
      <c r="I37" s="166"/>
      <c r="J37" s="135">
        <f t="shared" si="14"/>
        <v>0.5397620669905597</v>
      </c>
    </row>
    <row r="38" spans="1:10" ht="15" hidden="1" outlineLevel="1">
      <c r="A38" s="144">
        <v>16</v>
      </c>
      <c r="B38" s="141">
        <f>B22*$A$38</f>
        <v>0.08473884478150387</v>
      </c>
      <c r="C38" s="141">
        <f aca="true" t="shared" si="30" ref="C38:H38">C22*$A$38</f>
        <v>0.08558623322931891</v>
      </c>
      <c r="D38" s="137">
        <f t="shared" si="30"/>
        <v>0.08643362167713395</v>
      </c>
      <c r="E38" s="22">
        <f t="shared" si="30"/>
        <v>0.0868149464786507</v>
      </c>
      <c r="F38" s="141">
        <f t="shared" si="30"/>
        <v>0.08812839857276403</v>
      </c>
      <c r="G38" s="141">
        <f t="shared" si="30"/>
        <v>0.08897578702057905</v>
      </c>
      <c r="H38" s="141">
        <f t="shared" si="30"/>
        <v>0.09321272925965425</v>
      </c>
      <c r="I38" s="166"/>
      <c r="J38" s="134">
        <f t="shared" si="14"/>
        <v>0.5451906492343748</v>
      </c>
    </row>
    <row r="39" spans="1:10" ht="15" hidden="1" outlineLevel="1">
      <c r="A39" s="144">
        <v>17</v>
      </c>
      <c r="B39" s="141">
        <f>B22*$A$39</f>
        <v>0.09003502258034786</v>
      </c>
      <c r="C39" s="141">
        <f aca="true" t="shared" si="31" ref="C39:H39">C22*$A$39</f>
        <v>0.09093537280615134</v>
      </c>
      <c r="D39" s="137">
        <f t="shared" si="31"/>
        <v>0.09183572303195482</v>
      </c>
      <c r="E39" s="22">
        <f t="shared" si="31"/>
        <v>0.09224088063356638</v>
      </c>
      <c r="F39" s="141">
        <f t="shared" si="31"/>
        <v>0.09363642348356178</v>
      </c>
      <c r="G39" s="141">
        <f t="shared" si="31"/>
        <v>0.09453677370936524</v>
      </c>
      <c r="H39" s="141">
        <f t="shared" si="31"/>
        <v>0.09903852483838264</v>
      </c>
      <c r="I39" s="166"/>
      <c r="J39" s="134">
        <f t="shared" si="14"/>
        <v>0.5506192314781899</v>
      </c>
    </row>
    <row r="40" spans="1:10" ht="15" hidden="1" outlineLevel="1">
      <c r="A40" s="144">
        <v>18</v>
      </c>
      <c r="B40" s="141">
        <f>B22*$A$40</f>
        <v>0.09533120037919185</v>
      </c>
      <c r="C40" s="141">
        <f aca="true" t="shared" si="32" ref="C40:H40">C22*$A$40</f>
        <v>0.09628451238298377</v>
      </c>
      <c r="D40" s="137">
        <f t="shared" si="32"/>
        <v>0.0972378243867757</v>
      </c>
      <c r="E40" s="22">
        <f t="shared" si="32"/>
        <v>0.09766681478848205</v>
      </c>
      <c r="F40" s="141">
        <f t="shared" si="32"/>
        <v>0.09914444839435953</v>
      </c>
      <c r="G40" s="141">
        <f t="shared" si="32"/>
        <v>0.10009776039815144</v>
      </c>
      <c r="H40" s="141">
        <f t="shared" si="32"/>
        <v>0.10486432041711104</v>
      </c>
      <c r="I40" s="166"/>
      <c r="J40" s="134">
        <f t="shared" si="14"/>
        <v>0.556047813722005</v>
      </c>
    </row>
    <row r="41" spans="1:10" ht="15" hidden="1" outlineLevel="1">
      <c r="A41" s="144">
        <v>19</v>
      </c>
      <c r="B41" s="141">
        <f>B22*$A$41</f>
        <v>0.10062737817803584</v>
      </c>
      <c r="C41" s="141">
        <f aca="true" t="shared" si="33" ref="C41:H41">C22*$A$41</f>
        <v>0.1016336519598162</v>
      </c>
      <c r="D41" s="137">
        <f t="shared" si="33"/>
        <v>0.10263992574159657</v>
      </c>
      <c r="E41" s="22">
        <f t="shared" si="33"/>
        <v>0.10309274894339772</v>
      </c>
      <c r="F41" s="141">
        <f t="shared" si="33"/>
        <v>0.10465247330515728</v>
      </c>
      <c r="G41" s="141">
        <f t="shared" si="33"/>
        <v>0.10565874708693762</v>
      </c>
      <c r="H41" s="141">
        <f t="shared" si="33"/>
        <v>0.11069011599583942</v>
      </c>
      <c r="I41" s="166"/>
      <c r="J41" s="134">
        <f t="shared" si="14"/>
        <v>0.56147639596582</v>
      </c>
    </row>
    <row r="42" spans="1:10" ht="15" collapsed="1">
      <c r="A42" s="165">
        <v>20</v>
      </c>
      <c r="B42" s="162">
        <f aca="true" t="shared" si="34" ref="B42:H42">B22*$A$42</f>
        <v>0.10592355597687983</v>
      </c>
      <c r="C42" s="162">
        <f t="shared" si="34"/>
        <v>0.10698279153664864</v>
      </c>
      <c r="D42" s="163">
        <f t="shared" si="34"/>
        <v>0.10804202709641744</v>
      </c>
      <c r="E42" s="164">
        <f t="shared" si="34"/>
        <v>0.10851868309831339</v>
      </c>
      <c r="F42" s="162">
        <f t="shared" si="34"/>
        <v>0.11016049821595503</v>
      </c>
      <c r="G42" s="161">
        <f t="shared" si="34"/>
        <v>0.11121973377572382</v>
      </c>
      <c r="H42" s="162">
        <f t="shared" si="34"/>
        <v>0.11651591157456781</v>
      </c>
      <c r="I42" s="166"/>
      <c r="J42" s="135">
        <f t="shared" si="14"/>
        <v>0.5669049782096351</v>
      </c>
    </row>
    <row r="43" spans="1:10" ht="15" hidden="1" outlineLevel="1">
      <c r="A43" s="144">
        <v>21</v>
      </c>
      <c r="B43" s="141">
        <f>B22*$A$43</f>
        <v>0.11121973377572383</v>
      </c>
      <c r="C43" s="141">
        <f aca="true" t="shared" si="35" ref="C43:H43">C22*$A$43</f>
        <v>0.11233193111348107</v>
      </c>
      <c r="D43" s="137">
        <f t="shared" si="35"/>
        <v>0.1134441284512383</v>
      </c>
      <c r="E43" s="22">
        <f t="shared" si="35"/>
        <v>0.11394461725322905</v>
      </c>
      <c r="F43" s="141">
        <f t="shared" si="35"/>
        <v>0.11566852312675278</v>
      </c>
      <c r="G43" s="141">
        <f t="shared" si="35"/>
        <v>0.11678072046451</v>
      </c>
      <c r="H43" s="141">
        <f t="shared" si="35"/>
        <v>0.1223417071532962</v>
      </c>
      <c r="I43" s="166"/>
      <c r="J43" s="134">
        <f t="shared" si="14"/>
        <v>0.5723335604534503</v>
      </c>
    </row>
    <row r="44" spans="1:10" ht="15" hidden="1" outlineLevel="1">
      <c r="A44" s="144">
        <v>22</v>
      </c>
      <c r="B44" s="141">
        <f>B22*$A$44</f>
        <v>0.11651591157456782</v>
      </c>
      <c r="C44" s="141">
        <f aca="true" t="shared" si="36" ref="C44:H44">C22*$A$44</f>
        <v>0.1176810706903135</v>
      </c>
      <c r="D44" s="137">
        <f t="shared" si="36"/>
        <v>0.11884622980605918</v>
      </c>
      <c r="E44" s="22">
        <f t="shared" si="36"/>
        <v>0.11937055140814472</v>
      </c>
      <c r="F44" s="141">
        <f t="shared" si="36"/>
        <v>0.12117654803755054</v>
      </c>
      <c r="G44" s="141">
        <f t="shared" si="36"/>
        <v>0.1223417071532962</v>
      </c>
      <c r="H44" s="141">
        <f t="shared" si="36"/>
        <v>0.1281675027320246</v>
      </c>
      <c r="I44" s="166"/>
      <c r="J44" s="134">
        <f t="shared" si="14"/>
        <v>0.5777621426972653</v>
      </c>
    </row>
    <row r="45" spans="1:10" ht="15" hidden="1" outlineLevel="1">
      <c r="A45" s="144">
        <v>23</v>
      </c>
      <c r="B45" s="141">
        <f>B22*$A$45</f>
        <v>0.12181208937341181</v>
      </c>
      <c r="C45" s="141">
        <f aca="true" t="shared" si="37" ref="C45:H45">C22*$A$45</f>
        <v>0.12303021026714593</v>
      </c>
      <c r="D45" s="137">
        <f t="shared" si="37"/>
        <v>0.12424833116088005</v>
      </c>
      <c r="E45" s="22">
        <f t="shared" si="37"/>
        <v>0.12479648556306039</v>
      </c>
      <c r="F45" s="141">
        <f t="shared" si="37"/>
        <v>0.12668457294834828</v>
      </c>
      <c r="G45" s="141">
        <f t="shared" si="37"/>
        <v>0.1279026938420824</v>
      </c>
      <c r="H45" s="141">
        <f t="shared" si="37"/>
        <v>0.133993298310753</v>
      </c>
      <c r="I45" s="166"/>
      <c r="J45" s="134">
        <f t="shared" si="14"/>
        <v>0.5831907249410804</v>
      </c>
    </row>
    <row r="46" spans="1:10" ht="15" hidden="1" outlineLevel="1">
      <c r="A46" s="144">
        <v>24</v>
      </c>
      <c r="B46" s="141">
        <f>B22*$A$46</f>
        <v>0.12710826717225582</v>
      </c>
      <c r="C46" s="141">
        <f aca="true" t="shared" si="38" ref="C46:H46">C22*$A$46</f>
        <v>0.12837934984397836</v>
      </c>
      <c r="D46" s="137">
        <f t="shared" si="38"/>
        <v>0.1296504325157009</v>
      </c>
      <c r="E46" s="22">
        <f t="shared" si="38"/>
        <v>0.13022241971797605</v>
      </c>
      <c r="F46" s="141">
        <f t="shared" si="38"/>
        <v>0.13219259785914605</v>
      </c>
      <c r="G46" s="141">
        <f t="shared" si="38"/>
        <v>0.13346368053086857</v>
      </c>
      <c r="H46" s="141">
        <f t="shared" si="38"/>
        <v>0.13981909388948138</v>
      </c>
      <c r="I46" s="166"/>
      <c r="J46" s="134">
        <f t="shared" si="14"/>
        <v>0.5886193071848955</v>
      </c>
    </row>
    <row r="47" spans="1:10" ht="15" collapsed="1">
      <c r="A47" s="165">
        <v>25</v>
      </c>
      <c r="B47" s="162">
        <f aca="true" t="shared" si="39" ref="B47:H47">B22*$A$47</f>
        <v>0.1324044449710998</v>
      </c>
      <c r="C47" s="162">
        <f t="shared" si="39"/>
        <v>0.13372848942081078</v>
      </c>
      <c r="D47" s="163">
        <f t="shared" si="39"/>
        <v>0.1350525338705218</v>
      </c>
      <c r="E47" s="164">
        <f t="shared" si="39"/>
        <v>0.13564835387289173</v>
      </c>
      <c r="F47" s="162">
        <f t="shared" si="39"/>
        <v>0.1377006227699438</v>
      </c>
      <c r="G47" s="161">
        <f t="shared" si="39"/>
        <v>0.13902466721965476</v>
      </c>
      <c r="H47" s="162">
        <f t="shared" si="39"/>
        <v>0.14564488946820978</v>
      </c>
      <c r="I47" s="166"/>
      <c r="J47" s="135">
        <f t="shared" si="14"/>
        <v>0.5940478894287107</v>
      </c>
    </row>
    <row r="48" spans="1:10" ht="15">
      <c r="A48" s="147">
        <f>F1</f>
        <v>26.22436295835923</v>
      </c>
      <c r="B48" s="141">
        <f aca="true" t="shared" si="40" ref="B48:H48">B22*$A$48</f>
        <v>0.1388888888888889</v>
      </c>
      <c r="C48" s="141">
        <f t="shared" si="40"/>
        <v>0.14027777777777778</v>
      </c>
      <c r="D48" s="137">
        <f t="shared" si="40"/>
        <v>0.1416666666666667</v>
      </c>
      <c r="E48" s="22">
        <f t="shared" si="40"/>
        <v>0.14229166666666665</v>
      </c>
      <c r="F48" s="141">
        <f t="shared" si="40"/>
        <v>0.14444444444444446</v>
      </c>
      <c r="G48" s="148">
        <f t="shared" si="40"/>
        <v>0.14583333333333331</v>
      </c>
      <c r="H48" s="141">
        <f t="shared" si="40"/>
        <v>0.1527777777777778</v>
      </c>
      <c r="I48" s="166"/>
      <c r="J48" s="134">
        <f t="shared" si="14"/>
        <v>0.6006944444444444</v>
      </c>
    </row>
    <row r="49" spans="1:10" ht="3.75" customHeight="1" thickBot="1">
      <c r="A49" s="156"/>
      <c r="B49" s="157"/>
      <c r="C49" s="9"/>
      <c r="D49" s="8"/>
      <c r="E49" s="23"/>
      <c r="F49" s="18"/>
      <c r="G49" s="155"/>
      <c r="H49" s="9" t="s">
        <v>38</v>
      </c>
      <c r="J49" s="136"/>
    </row>
  </sheetData>
  <printOptions/>
  <pageMargins left="0.75" right="0.75" top="1" bottom="1" header="0.4921259845" footer="0.4921259845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11.5546875" defaultRowHeight="15"/>
  <cols>
    <col min="1" max="1" width="4.88671875" style="0" customWidth="1"/>
    <col min="2" max="2" width="7.6640625" style="0" customWidth="1"/>
    <col min="3" max="3" width="6.99609375" style="24" customWidth="1"/>
    <col min="4" max="4" width="11.5546875" style="24" customWidth="1"/>
    <col min="5" max="5" width="4.10546875" style="24" customWidth="1"/>
    <col min="6" max="6" width="7.3359375" style="0" customWidth="1"/>
  </cols>
  <sheetData>
    <row r="1" spans="1:5" ht="12.75" customHeight="1">
      <c r="A1" s="27" t="s">
        <v>63</v>
      </c>
      <c r="B1" s="25"/>
      <c r="E1" s="24" t="s">
        <v>90</v>
      </c>
    </row>
    <row r="2" spans="1:6" ht="12.75" customHeight="1">
      <c r="A2" s="24">
        <v>1</v>
      </c>
      <c r="B2" s="26">
        <v>0.003298611111111111</v>
      </c>
      <c r="C2" s="30">
        <f>+B2</f>
        <v>0.003298611111111111</v>
      </c>
      <c r="E2" s="24">
        <v>5</v>
      </c>
      <c r="F2" s="194">
        <v>0.016666666666666666</v>
      </c>
    </row>
    <row r="3" spans="1:6" ht="12.75" customHeight="1">
      <c r="A3" s="24">
        <v>2</v>
      </c>
      <c r="B3" s="26">
        <v>0.003298611111111111</v>
      </c>
      <c r="C3" s="30">
        <f>+B3+C2</f>
        <v>0.006597222222222222</v>
      </c>
      <c r="E3" s="203">
        <v>10</v>
      </c>
      <c r="F3" s="204">
        <v>0.03333333333333333</v>
      </c>
    </row>
    <row r="4" spans="1:6" ht="12.75" customHeight="1">
      <c r="A4" s="24">
        <v>3</v>
      </c>
      <c r="B4" s="26">
        <v>0.003298611111111111</v>
      </c>
      <c r="C4" s="194">
        <f aca="true" t="shared" si="0" ref="C4:C43">+B4+C3</f>
        <v>0.009895833333333333</v>
      </c>
      <c r="D4" s="27"/>
      <c r="E4" s="202">
        <v>15</v>
      </c>
      <c r="F4" s="194">
        <v>0.05034722222222222</v>
      </c>
    </row>
    <row r="5" spans="1:6" ht="12.75" customHeight="1">
      <c r="A5" s="24">
        <v>4</v>
      </c>
      <c r="B5" s="26">
        <v>0.003298611111111111</v>
      </c>
      <c r="C5" s="194">
        <f t="shared" si="0"/>
        <v>0.013194444444444444</v>
      </c>
      <c r="E5" s="203">
        <v>20</v>
      </c>
      <c r="F5" s="204">
        <v>0.06701388888888889</v>
      </c>
    </row>
    <row r="6" spans="1:6" ht="12.75" customHeight="1">
      <c r="A6" s="28">
        <v>5</v>
      </c>
      <c r="B6" s="29">
        <v>0.003298611111111111</v>
      </c>
      <c r="C6" s="195">
        <f t="shared" si="0"/>
        <v>0.016493055555555556</v>
      </c>
      <c r="E6" s="205">
        <v>21.1</v>
      </c>
      <c r="F6" s="206">
        <v>0.07083333333333333</v>
      </c>
    </row>
    <row r="7" spans="1:6" ht="12.75" customHeight="1">
      <c r="A7" s="24">
        <v>6</v>
      </c>
      <c r="B7" s="26">
        <v>0.003298611111111111</v>
      </c>
      <c r="C7" s="194">
        <f t="shared" si="0"/>
        <v>0.019791666666666666</v>
      </c>
      <c r="E7" s="203">
        <v>25</v>
      </c>
      <c r="F7" s="204">
        <v>0.08402777777777777</v>
      </c>
    </row>
    <row r="8" spans="1:6" ht="12.75" customHeight="1">
      <c r="A8" s="24">
        <v>7</v>
      </c>
      <c r="B8" s="26">
        <v>0.003298611111111111</v>
      </c>
      <c r="C8" s="194">
        <f t="shared" si="0"/>
        <v>0.023090277777777776</v>
      </c>
      <c r="D8" s="27"/>
      <c r="E8" s="24">
        <v>30</v>
      </c>
      <c r="F8" s="194">
        <v>0.10069444444444443</v>
      </c>
    </row>
    <row r="9" spans="1:6" ht="12.75" customHeight="1">
      <c r="A9" s="24">
        <v>8</v>
      </c>
      <c r="B9" s="26">
        <v>0.003298611111111111</v>
      </c>
      <c r="C9" s="194">
        <f t="shared" si="0"/>
        <v>0.026388888888888885</v>
      </c>
      <c r="E9" s="203">
        <v>35</v>
      </c>
      <c r="F9" s="204">
        <v>0.11805555555555557</v>
      </c>
    </row>
    <row r="10" spans="1:6" ht="12.75" customHeight="1">
      <c r="A10" s="24">
        <v>9</v>
      </c>
      <c r="B10" s="26">
        <v>0.003298611111111111</v>
      </c>
      <c r="C10" s="194">
        <f t="shared" si="0"/>
        <v>0.029687499999999995</v>
      </c>
      <c r="E10" s="24">
        <v>40</v>
      </c>
      <c r="F10" s="194">
        <v>0.13541666666666666</v>
      </c>
    </row>
    <row r="11" spans="1:3" ht="12.75" customHeight="1">
      <c r="A11" s="28">
        <v>10</v>
      </c>
      <c r="B11" s="29">
        <v>0.003298611111111111</v>
      </c>
      <c r="C11" s="195">
        <f t="shared" si="0"/>
        <v>0.032986111111111105</v>
      </c>
    </row>
    <row r="12" spans="1:3" ht="12.75" customHeight="1">
      <c r="A12" s="24">
        <v>11</v>
      </c>
      <c r="B12" s="26">
        <v>0.003356481481481481</v>
      </c>
      <c r="C12" s="194">
        <f t="shared" si="0"/>
        <v>0.036342592592592586</v>
      </c>
    </row>
    <row r="13" spans="1:3" ht="12.75" customHeight="1">
      <c r="A13" s="24">
        <v>12</v>
      </c>
      <c r="B13" s="26">
        <v>0.003356481481481481</v>
      </c>
      <c r="C13" s="194">
        <f t="shared" si="0"/>
        <v>0.03969907407407407</v>
      </c>
    </row>
    <row r="14" spans="1:3" ht="12.75" customHeight="1">
      <c r="A14" s="24">
        <v>13</v>
      </c>
      <c r="B14" s="26">
        <v>0.003356481481481481</v>
      </c>
      <c r="C14" s="194">
        <f t="shared" si="0"/>
        <v>0.04305555555555555</v>
      </c>
    </row>
    <row r="15" spans="1:3" ht="12.75" customHeight="1">
      <c r="A15" s="24">
        <v>14</v>
      </c>
      <c r="B15" s="26">
        <v>0.003356481481481481</v>
      </c>
      <c r="C15" s="194">
        <f t="shared" si="0"/>
        <v>0.04641203703703703</v>
      </c>
    </row>
    <row r="16" spans="1:3" ht="12.75" customHeight="1">
      <c r="A16" s="28">
        <v>15</v>
      </c>
      <c r="B16" s="29">
        <v>0.003356481481481481</v>
      </c>
      <c r="C16" s="195">
        <f t="shared" si="0"/>
        <v>0.04976851851851851</v>
      </c>
    </row>
    <row r="17" spans="1:3" ht="12.75" customHeight="1">
      <c r="A17" s="24">
        <v>16</v>
      </c>
      <c r="B17" s="26">
        <v>0.003356481481481481</v>
      </c>
      <c r="C17" s="194">
        <f t="shared" si="0"/>
        <v>0.05312499999999999</v>
      </c>
    </row>
    <row r="18" spans="1:3" ht="12.75" customHeight="1">
      <c r="A18" s="24">
        <v>17</v>
      </c>
      <c r="B18" s="26">
        <v>0.003356481481481481</v>
      </c>
      <c r="C18" s="194">
        <f t="shared" si="0"/>
        <v>0.05648148148148147</v>
      </c>
    </row>
    <row r="19" spans="1:3" ht="12.75" customHeight="1">
      <c r="A19" s="24">
        <v>18</v>
      </c>
      <c r="B19" s="26">
        <v>0.003356481481481481</v>
      </c>
      <c r="C19" s="194">
        <f t="shared" si="0"/>
        <v>0.059837962962962954</v>
      </c>
    </row>
    <row r="20" spans="1:3" ht="12.75" customHeight="1">
      <c r="A20" s="24">
        <v>19</v>
      </c>
      <c r="B20" s="26">
        <v>0.003356481481481481</v>
      </c>
      <c r="C20" s="194">
        <f t="shared" si="0"/>
        <v>0.06319444444444444</v>
      </c>
    </row>
    <row r="21" spans="1:3" ht="12.75" customHeight="1">
      <c r="A21" s="28">
        <v>20</v>
      </c>
      <c r="B21" s="29">
        <v>0.003356481481481481</v>
      </c>
      <c r="C21" s="195">
        <f t="shared" si="0"/>
        <v>0.06655092592592593</v>
      </c>
    </row>
    <row r="22" spans="1:3" ht="12.75" customHeight="1">
      <c r="A22" s="24">
        <v>21</v>
      </c>
      <c r="B22" s="26">
        <v>0.003356481481481481</v>
      </c>
      <c r="C22" s="194">
        <f t="shared" si="0"/>
        <v>0.06990740740740742</v>
      </c>
    </row>
    <row r="23" spans="1:6" ht="12.75" customHeight="1">
      <c r="A23" s="197">
        <v>21.096</v>
      </c>
      <c r="B23" s="198">
        <v>0.003356481481481481</v>
      </c>
      <c r="C23" s="199">
        <f>+B23/1000*96+C22</f>
        <v>0.07022962962962964</v>
      </c>
      <c r="D23" s="27"/>
      <c r="E23" s="30"/>
      <c r="F23" s="193"/>
    </row>
    <row r="24" spans="1:3" ht="12.75" customHeight="1">
      <c r="A24" s="24">
        <v>22</v>
      </c>
      <c r="B24" s="26">
        <v>0.003356481481481481</v>
      </c>
      <c r="C24" s="194">
        <f>+B24+C22</f>
        <v>0.0732638888888889</v>
      </c>
    </row>
    <row r="25" spans="1:3" ht="12.75" customHeight="1">
      <c r="A25" s="24">
        <v>23</v>
      </c>
      <c r="B25" s="26">
        <v>0.003356481481481481</v>
      </c>
      <c r="C25" s="194">
        <f t="shared" si="0"/>
        <v>0.0766203703703704</v>
      </c>
    </row>
    <row r="26" spans="1:3" ht="12.75" customHeight="1">
      <c r="A26" s="24">
        <v>24</v>
      </c>
      <c r="B26" s="26">
        <v>0.003356481481481481</v>
      </c>
      <c r="C26" s="194">
        <f t="shared" si="0"/>
        <v>0.07997685185185188</v>
      </c>
    </row>
    <row r="27" spans="1:3" ht="12.75" customHeight="1">
      <c r="A27" s="28">
        <v>25</v>
      </c>
      <c r="B27" s="29">
        <v>0.003356481481481481</v>
      </c>
      <c r="C27" s="195">
        <f t="shared" si="0"/>
        <v>0.08333333333333337</v>
      </c>
    </row>
    <row r="28" spans="1:3" ht="12.75" customHeight="1">
      <c r="A28" s="24">
        <v>26</v>
      </c>
      <c r="B28" s="26">
        <v>0.003356481481481481</v>
      </c>
      <c r="C28" s="194">
        <f t="shared" si="0"/>
        <v>0.08668981481481486</v>
      </c>
    </row>
    <row r="29" spans="1:3" ht="12.75" customHeight="1">
      <c r="A29" s="24">
        <v>27</v>
      </c>
      <c r="B29" s="26">
        <v>0.003356481481481481</v>
      </c>
      <c r="C29" s="194">
        <f t="shared" si="0"/>
        <v>0.09004629629629635</v>
      </c>
    </row>
    <row r="30" spans="1:3" ht="12.75" customHeight="1">
      <c r="A30" s="24">
        <v>28</v>
      </c>
      <c r="B30" s="26">
        <v>0.003356481481481481</v>
      </c>
      <c r="C30" s="194">
        <f t="shared" si="0"/>
        <v>0.09340277777777783</v>
      </c>
    </row>
    <row r="31" spans="1:3" ht="12.75" customHeight="1">
      <c r="A31" s="24">
        <v>29</v>
      </c>
      <c r="B31" s="26">
        <v>0.003356481481481481</v>
      </c>
      <c r="C31" s="194">
        <f t="shared" si="0"/>
        <v>0.09675925925925932</v>
      </c>
    </row>
    <row r="32" spans="1:3" ht="12.75" customHeight="1">
      <c r="A32" s="28">
        <v>30</v>
      </c>
      <c r="B32" s="29">
        <v>0.003356481481481481</v>
      </c>
      <c r="C32" s="195">
        <f t="shared" si="0"/>
        <v>0.10011574074074081</v>
      </c>
    </row>
    <row r="33" spans="1:3" ht="12.75" customHeight="1">
      <c r="A33" s="24">
        <v>31</v>
      </c>
      <c r="B33" s="26">
        <v>0.003414351851851852</v>
      </c>
      <c r="C33" s="196">
        <f t="shared" si="0"/>
        <v>0.10353009259259266</v>
      </c>
    </row>
    <row r="34" spans="1:3" ht="12.75" customHeight="1">
      <c r="A34" s="24">
        <v>32</v>
      </c>
      <c r="B34" s="26">
        <v>0.003414351851851852</v>
      </c>
      <c r="C34" s="196">
        <f t="shared" si="0"/>
        <v>0.10694444444444451</v>
      </c>
    </row>
    <row r="35" spans="1:3" ht="12.75" customHeight="1">
      <c r="A35" s="24">
        <v>33</v>
      </c>
      <c r="B35" s="26">
        <v>0.003414351851851852</v>
      </c>
      <c r="C35" s="196">
        <f t="shared" si="0"/>
        <v>0.11035879629629636</v>
      </c>
    </row>
    <row r="36" spans="1:3" ht="12.75" customHeight="1">
      <c r="A36" s="24">
        <v>34</v>
      </c>
      <c r="B36" s="26">
        <v>0.003414351851851852</v>
      </c>
      <c r="C36" s="196">
        <f t="shared" si="0"/>
        <v>0.1137731481481482</v>
      </c>
    </row>
    <row r="37" spans="1:3" ht="12.75" customHeight="1">
      <c r="A37" s="28">
        <v>35</v>
      </c>
      <c r="B37" s="29">
        <v>0.003414351851851852</v>
      </c>
      <c r="C37" s="195">
        <f t="shared" si="0"/>
        <v>0.11718750000000006</v>
      </c>
    </row>
    <row r="38" spans="1:3" ht="12.75" customHeight="1">
      <c r="A38" s="24">
        <v>36</v>
      </c>
      <c r="B38" s="26">
        <v>0.003472222222222222</v>
      </c>
      <c r="C38" s="196">
        <f t="shared" si="0"/>
        <v>0.12065972222222228</v>
      </c>
    </row>
    <row r="39" spans="1:3" ht="12.75" customHeight="1">
      <c r="A39" s="24">
        <v>37</v>
      </c>
      <c r="B39" s="26">
        <v>0.003472222222222222</v>
      </c>
      <c r="C39" s="196">
        <f t="shared" si="0"/>
        <v>0.1241319444444445</v>
      </c>
    </row>
    <row r="40" spans="1:3" ht="12.75" customHeight="1">
      <c r="A40" s="24">
        <v>38</v>
      </c>
      <c r="B40" s="26">
        <v>0.003472222222222222</v>
      </c>
      <c r="C40" s="196">
        <f t="shared" si="0"/>
        <v>0.1276041666666667</v>
      </c>
    </row>
    <row r="41" spans="1:3" ht="12.75" customHeight="1">
      <c r="A41" s="24">
        <v>39</v>
      </c>
      <c r="B41" s="26">
        <v>0.003472222222222222</v>
      </c>
      <c r="C41" s="196">
        <f t="shared" si="0"/>
        <v>0.13107638888888892</v>
      </c>
    </row>
    <row r="42" spans="1:3" ht="12.75" customHeight="1">
      <c r="A42" s="28">
        <v>40</v>
      </c>
      <c r="B42" s="29">
        <v>0.003472222222222222</v>
      </c>
      <c r="C42" s="195">
        <f t="shared" si="0"/>
        <v>0.13454861111111113</v>
      </c>
    </row>
    <row r="43" spans="1:3" ht="12.75" customHeight="1">
      <c r="A43" s="24">
        <v>41</v>
      </c>
      <c r="B43" s="26">
        <v>0.003472222222222222</v>
      </c>
      <c r="C43" s="196">
        <f t="shared" si="0"/>
        <v>0.13802083333333334</v>
      </c>
    </row>
    <row r="44" spans="1:3" ht="12.75" customHeight="1">
      <c r="A44" s="24">
        <v>42</v>
      </c>
      <c r="B44" s="26">
        <v>0.003472222222222222</v>
      </c>
      <c r="C44" s="196">
        <f>+B44+C43</f>
        <v>0.14149305555555555</v>
      </c>
    </row>
    <row r="45" spans="1:3" ht="12.75" customHeight="1">
      <c r="A45" s="200">
        <v>42.195</v>
      </c>
      <c r="B45" s="198">
        <v>0.003472222222222222</v>
      </c>
      <c r="C45" s="201">
        <f>+B45/1000*195+C44</f>
        <v>0.14217013888888888</v>
      </c>
    </row>
    <row r="46" spans="1:3" ht="12.75" customHeight="1">
      <c r="A46" s="25"/>
      <c r="B46" s="26"/>
      <c r="C46" s="25"/>
    </row>
    <row r="47" spans="1:3" ht="12.75" customHeight="1">
      <c r="A47" s="25"/>
      <c r="B47" s="26"/>
      <c r="C47" s="25"/>
    </row>
    <row r="48" spans="1:3" ht="12.75" customHeight="1">
      <c r="A48" s="25"/>
      <c r="B48" s="26"/>
      <c r="C48" s="25"/>
    </row>
    <row r="49" spans="1:3" ht="12.75" customHeight="1">
      <c r="A49" s="25"/>
      <c r="B49" s="26"/>
      <c r="C49" s="25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2003-10-20T21:51:46Z</cp:lastPrinted>
  <dcterms:created xsi:type="dcterms:W3CDTF">1999-03-16T22:30:06Z</dcterms:created>
  <dcterms:modified xsi:type="dcterms:W3CDTF">2003-10-27T21:36:37Z</dcterms:modified>
  <cp:category/>
  <cp:version/>
  <cp:contentType/>
  <cp:contentStatus/>
</cp:coreProperties>
</file>